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ОЛСТАЯ_ЕЕ\работа катя\РАБОЧИЙ СТОЛ\КАП РЕМОНТ МКД\2025\Краткосрочный 26-28\"/>
    </mc:Choice>
  </mc:AlternateContent>
  <bookViews>
    <workbookView xWindow="0" yWindow="0" windowWidth="28800" windowHeight="12435" tabRatio="586"/>
  </bookViews>
  <sheets>
    <sheet name="форма 1" sheetId="1" r:id="rId1"/>
    <sheet name="Форма 2" sheetId="4" r:id="rId2"/>
  </sheets>
  <definedNames>
    <definedName name="_xlnm._FilterDatabase" localSheetId="0" hidden="1">'форма 1'!$A$8:$S$28</definedName>
    <definedName name="_xlnm._FilterDatabase" localSheetId="1" hidden="1">'Форма 2'!$A$4:$K$83</definedName>
    <definedName name="Z_071E1129_87BE_443E_A630_49B570385858_.wvu.FilterData" localSheetId="0" hidden="1">'форма 1'!$A$8:$S$9</definedName>
    <definedName name="Z_2153793A_FA21_4C81_8AE5_3C176D0CDF9C_.wvu.FilterData" localSheetId="0" hidden="1">'форма 1'!$A$8:$S$9</definedName>
    <definedName name="Z_3511D8A4_2A8D_4563_8DF1_C381EEDBF68F_.wvu.FilterData" localSheetId="0" hidden="1">'форма 1'!$A$8:$S$9</definedName>
    <definedName name="Z_3511D8A4_2A8D_4563_8DF1_C381EEDBF68F_.wvu.FilterData" localSheetId="1" hidden="1">'Форма 2'!$A$4:$K$4</definedName>
    <definedName name="Z_3511D8A4_2A8D_4563_8DF1_C381EEDBF68F_.wvu.PrintArea" localSheetId="0" hidden="1">'форма 1'!$A$1:$S$9</definedName>
    <definedName name="Z_3511D8A4_2A8D_4563_8DF1_C381EEDBF68F_.wvu.PrintArea" localSheetId="1" hidden="1">'Форма 2'!$A$1:$K$71</definedName>
    <definedName name="Z_3511D8A4_2A8D_4563_8DF1_C381EEDBF68F_.wvu.PrintTitles" localSheetId="1" hidden="1">'Форма 2'!$4:$4</definedName>
    <definedName name="Z_4A739215_D16A_4EE7_A2DF_5890D7372CF6_.wvu.FilterData" localSheetId="0" hidden="1">'форма 1'!$A$8:$S$9</definedName>
    <definedName name="Z_4A739215_D16A_4EE7_A2DF_5890D7372CF6_.wvu.FilterData" localSheetId="1" hidden="1">'Форма 2'!$A$4:$K$5</definedName>
    <definedName name="Z_4BBD3242_ADF1_41E0_9651_34A11444B844_.wvu.FilterData" localSheetId="0" hidden="1">'форма 1'!$A$8:$S$9</definedName>
    <definedName name="Z_4BBD3242_ADF1_41E0_9651_34A11444B844_.wvu.FilterData" localSheetId="1" hidden="1">'Форма 2'!$A$4:$K$5</definedName>
    <definedName name="Z_513E810E_3E48_4817_A3BD_1F59CB59F4CA_.wvu.FilterData" localSheetId="1" hidden="1">'Форма 2'!$A$4:$K$5</definedName>
    <definedName name="Z_5F42B46C_E737_4DDF_A6B3_D01B97AD9617_.wvu.FilterData" localSheetId="0" hidden="1">'форма 1'!$A$8:$S$9</definedName>
    <definedName name="Z_5F42B46C_E737_4DDF_A6B3_D01B97AD9617_.wvu.FilterData" localSheetId="1" hidden="1">'Форма 2'!$A$4:$K$5</definedName>
    <definedName name="Z_6B855072_AFE4_4509_A179_E4F6A2796966_.wvu.FilterData" localSheetId="1" hidden="1">'Форма 2'!$A$4:$K$5</definedName>
    <definedName name="Z_7B1C413C_CFA4_46EC_80EB_4C481039F7CE_.wvu.FilterData" localSheetId="1" hidden="1">'Форма 2'!$A$4:$K$5</definedName>
    <definedName name="Z_7D125628_27D8_424A_B039_7F6935A9E22F_.wvu.FilterData" localSheetId="0" hidden="1">'форма 1'!$A$8:$S$9</definedName>
    <definedName name="Z_7D125628_27D8_424A_B039_7F6935A9E22F_.wvu.FilterData" localSheetId="1" hidden="1">'Форма 2'!$A$4:$K$5</definedName>
    <definedName name="Z_894246BE_CC98_45CA_9015_348B720E2996_.wvu.FilterData" localSheetId="0" hidden="1">'форма 1'!$A$8:$S$9</definedName>
    <definedName name="Z_9A08A02A_49DA_4249_BF63_47BD16E54DDA_.wvu.FilterData" localSheetId="1" hidden="1">'Форма 2'!$A$4:$K$5</definedName>
    <definedName name="Z_B69FB2D8_BCA5_4AC2_B0C9_F7BAD98AD860_.wvu.FilterData" localSheetId="0" hidden="1">'форма 1'!$A$8:$S$9</definedName>
    <definedName name="Z_B69FB2D8_BCA5_4AC2_B0C9_F7BAD98AD860_.wvu.FilterData" localSheetId="1" hidden="1">'Форма 2'!$A$4:$K$5</definedName>
    <definedName name="Z_BA9FD3DD_4F2C_454E_A268_F4AB041FD291_.wvu.FilterData" localSheetId="1" hidden="1">'Форма 2'!$A$4:$K$5</definedName>
    <definedName name="Z_C9A56928_F6D8_45BD_A377_A02C7A3A4EC3_.wvu.FilterData" localSheetId="0" hidden="1">'форма 1'!$A$8:$S$9</definedName>
    <definedName name="Z_C9A56928_F6D8_45BD_A377_A02C7A3A4EC3_.wvu.FilterData" localSheetId="1" hidden="1">'Форма 2'!$A$4:$K$5</definedName>
    <definedName name="Z_CC3EEC02_30D2_4905_AE21_71EA71520321_.wvu.FilterData" localSheetId="0" hidden="1">'форма 1'!$A$8:$S$9</definedName>
    <definedName name="Z_CC3EEC02_30D2_4905_AE21_71EA71520321_.wvu.FilterData" localSheetId="1" hidden="1">'Форма 2'!$A$4:$K$5</definedName>
    <definedName name="Z_CC3EEC02_30D2_4905_AE21_71EA71520321_.wvu.PrintArea" localSheetId="1" hidden="1">'Форма 2'!$A$1:$K$71</definedName>
    <definedName name="Z_CC3EEC02_30D2_4905_AE21_71EA71520321_.wvu.PrintTitles" localSheetId="1" hidden="1">'Форма 2'!$4:$4</definedName>
    <definedName name="Z_D58D1C63_6768_4CFA_8358_86EE19640CB2_.wvu.FilterData" localSheetId="1" hidden="1">'Форма 2'!$A$4:$K$5</definedName>
    <definedName name="Z_E0198BA7_4C17_4517_AE42_FD3FC28E3706_.wvu.FilterData" localSheetId="0" hidden="1">'форма 1'!$A$8:$S$9</definedName>
    <definedName name="Z_E0198BA7_4C17_4517_AE42_FD3FC28E3706_.wvu.FilterData" localSheetId="1" hidden="1">'Форма 2'!$A$4:$K$5</definedName>
    <definedName name="Z_E4B115D4_BEE0_43CB_9EA7_2190A66EBA3F_.wvu.FilterData" localSheetId="0" hidden="1">'форма 1'!$A$8:$S$9</definedName>
    <definedName name="Z_E4B115D4_BEE0_43CB_9EA7_2190A66EBA3F_.wvu.FilterData" localSheetId="1" hidden="1">'Форма 2'!$A$4:$K$5</definedName>
    <definedName name="Z_F3AFC384_A20B_4171_8881_A61C399C6A68_.wvu.FilterData" localSheetId="1" hidden="1">'Форма 2'!$A$4:$K$5</definedName>
    <definedName name="_xlnm.Print_Titles" localSheetId="0">'форма 1'!$8:$8</definedName>
    <definedName name="_xlnm.Print_Titles" localSheetId="1">'Форма 2'!$4:$4</definedName>
    <definedName name="_xlnm.Print_Area" localSheetId="0">'форма 1'!$A$1:$S$28</definedName>
    <definedName name="_xlnm.Print_Area" localSheetId="1">'Форма 2'!$A$1:$K$92</definedName>
  </definedNames>
  <calcPr calcId="152511" fullPrecision="0"/>
  <customWorkbookViews>
    <customWorkbookView name="Светлана Сергеевна Карпова - Личное представление" guid="{3511D8A4-2A8D-4563-8DF1-C381EEDBF68F}" mergeInterval="0" personalView="1" maximized="1" xWindow="-8" yWindow="-8" windowWidth="1936" windowHeight="1056" activeSheetId="4"/>
    <customWorkbookView name="Сыроватская Татьяна Иннокентьевна - Личное представление" guid="{CC3EEC02-30D2-4905-AE21-71EA71520321}" mergeInterval="0" personalView="1" maximized="1" xWindow="-8" yWindow="-8" windowWidth="1936" windowHeight="1056" activeSheetId="4"/>
    <customWorkbookView name="Алыкова Анна Фаридовна - Личное представление" guid="{114D0552-1D3C-4C9A-AF28-55BD1176DD7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D71" i="4" l="1"/>
  <c r="J9" i="4" l="1"/>
  <c r="D6" i="4" l="1"/>
  <c r="K42" i="4"/>
  <c r="A77" i="4" l="1"/>
  <c r="D57" i="4"/>
  <c r="A61" i="4"/>
  <c r="I65" i="4" l="1"/>
  <c r="I62" i="4"/>
  <c r="J62" i="4" s="1"/>
  <c r="I63" i="4"/>
  <c r="J63" i="4" s="1"/>
  <c r="K64" i="4"/>
  <c r="K61" i="4"/>
  <c r="I66" i="4" l="1"/>
  <c r="J66" i="4" s="1"/>
  <c r="J65" i="4"/>
  <c r="I52" i="4"/>
  <c r="I50" i="4"/>
  <c r="J50" i="4" s="1"/>
  <c r="I40" i="4"/>
  <c r="I38" i="4"/>
  <c r="I36" i="4"/>
  <c r="I33" i="4"/>
  <c r="I31" i="4"/>
  <c r="J31" i="4" s="1"/>
  <c r="I17" i="4"/>
  <c r="I15" i="4"/>
  <c r="I13" i="4"/>
  <c r="I10" i="4"/>
  <c r="I8" i="4"/>
  <c r="J8" i="4" s="1"/>
  <c r="I47" i="4"/>
  <c r="J47" i="4" s="1"/>
  <c r="I45" i="4"/>
  <c r="I43" i="4"/>
  <c r="J45" i="4"/>
  <c r="J48" i="4"/>
  <c r="J46" i="4"/>
  <c r="J44" i="4"/>
  <c r="J43" i="4" l="1"/>
  <c r="I42" i="4"/>
  <c r="J42" i="4"/>
  <c r="I61" i="4"/>
  <c r="I64" i="4"/>
  <c r="J64" i="4"/>
  <c r="J61" i="4"/>
  <c r="I55" i="4"/>
  <c r="K29" i="4" l="1"/>
  <c r="I29" i="4" s="1"/>
  <c r="K28" i="4" l="1"/>
  <c r="J29" i="4"/>
  <c r="J28" i="4" s="1"/>
  <c r="I28" i="4"/>
  <c r="J56" i="4" l="1"/>
  <c r="J53" i="4"/>
  <c r="J51" i="4"/>
  <c r="J41" i="4"/>
  <c r="J39" i="4"/>
  <c r="J37" i="4"/>
  <c r="J34" i="4"/>
  <c r="J32" i="4"/>
  <c r="J25" i="4"/>
  <c r="J23" i="4"/>
  <c r="J21" i="4"/>
  <c r="J18" i="4"/>
  <c r="J16" i="4"/>
  <c r="J14" i="4"/>
  <c r="J11" i="4"/>
  <c r="A12" i="4" l="1"/>
  <c r="A19" i="4" s="1"/>
  <c r="K10" i="4"/>
  <c r="K7" i="4" s="1"/>
  <c r="J52" i="4"/>
  <c r="K49" i="4"/>
  <c r="J38" i="4"/>
  <c r="K35" i="4"/>
  <c r="J33" i="4"/>
  <c r="K30" i="4"/>
  <c r="J15" i="4"/>
  <c r="K12" i="4"/>
  <c r="K70" i="4"/>
  <c r="K69" i="4"/>
  <c r="K68" i="4"/>
  <c r="I68" i="4" s="1"/>
  <c r="J68" i="4" s="1"/>
  <c r="A64" i="4"/>
  <c r="A67" i="4" s="1"/>
  <c r="K60" i="4"/>
  <c r="K59" i="4"/>
  <c r="I59" i="4" s="1"/>
  <c r="I70" i="4" l="1"/>
  <c r="J70" i="4" s="1"/>
  <c r="I69" i="4"/>
  <c r="J69" i="4" s="1"/>
  <c r="I7" i="4"/>
  <c r="J10" i="4"/>
  <c r="J13" i="4"/>
  <c r="J17" i="4"/>
  <c r="J36" i="4"/>
  <c r="J40" i="4"/>
  <c r="K58" i="4"/>
  <c r="K67" i="4"/>
  <c r="I12" i="4"/>
  <c r="I30" i="4"/>
  <c r="I35" i="4"/>
  <c r="I49" i="4"/>
  <c r="I60" i="4"/>
  <c r="J60" i="4" s="1"/>
  <c r="J7" i="4" l="1"/>
  <c r="J49" i="4"/>
  <c r="J30" i="4"/>
  <c r="J35" i="4"/>
  <c r="J12" i="4"/>
  <c r="J67" i="4"/>
  <c r="I67" i="4"/>
  <c r="J59" i="4"/>
  <c r="I58" i="4"/>
  <c r="I57" i="4" l="1"/>
  <c r="J58" i="4"/>
  <c r="I83" i="4" l="1"/>
  <c r="J83" i="4" s="1"/>
  <c r="I82" i="4"/>
  <c r="J82" i="4" s="1"/>
  <c r="I81" i="4"/>
  <c r="J81" i="4" s="1"/>
  <c r="I79" i="4"/>
  <c r="J79" i="4" s="1"/>
  <c r="I78" i="4"/>
  <c r="J78" i="4" s="1"/>
  <c r="I76" i="4"/>
  <c r="I74" i="4"/>
  <c r="I73" i="4"/>
  <c r="I24" i="4"/>
  <c r="J24" i="4" s="1"/>
  <c r="I22" i="4"/>
  <c r="J22" i="4" s="1"/>
  <c r="I20" i="4"/>
  <c r="J20" i="4" s="1"/>
  <c r="I54" i="4" l="1"/>
  <c r="J55" i="4"/>
  <c r="I19" i="4"/>
  <c r="K54" i="4" l="1"/>
  <c r="J54" i="4" l="1"/>
  <c r="D5" i="4" l="1"/>
  <c r="K80" i="4"/>
  <c r="J74" i="4"/>
  <c r="J76" i="4"/>
  <c r="J73" i="4"/>
  <c r="K75" i="4"/>
  <c r="I75" i="4" l="1"/>
  <c r="I72" i="4" s="1"/>
  <c r="I80" i="4"/>
  <c r="K77" i="4"/>
  <c r="K72" i="4"/>
  <c r="J75" i="4" l="1"/>
  <c r="J72" i="4" s="1"/>
  <c r="J80" i="4"/>
  <c r="I77" i="4"/>
  <c r="K27" i="4"/>
  <c r="K19" i="4"/>
  <c r="I71" i="4" l="1"/>
  <c r="J77" i="4"/>
  <c r="I27" i="4"/>
  <c r="K26" i="4"/>
  <c r="I26" i="4" l="1"/>
  <c r="I6" i="4" s="1"/>
  <c r="J27" i="4"/>
  <c r="J26" i="4" s="1"/>
  <c r="J19" i="4"/>
  <c r="I5" i="4" l="1"/>
  <c r="A26" i="4" l="1"/>
  <c r="A28" i="4" l="1"/>
  <c r="A30" i="4" s="1"/>
  <c r="A35" i="4" s="1"/>
  <c r="A42" i="4" s="1"/>
  <c r="A49" i="4" s="1"/>
  <c r="A54" i="4" s="1"/>
  <c r="B4" i="4" l="1"/>
  <c r="C4" i="4" s="1"/>
  <c r="D4" i="4" s="1"/>
  <c r="G4" i="4"/>
  <c r="H4" i="4" s="1"/>
  <c r="I4" i="4" s="1"/>
  <c r="J4" i="4" s="1"/>
  <c r="K4" i="4" s="1"/>
</calcChain>
</file>

<file path=xl/sharedStrings.xml><?xml version="1.0" encoding="utf-8"?>
<sst xmlns="http://schemas.openxmlformats.org/spreadsheetml/2006/main" count="303" uniqueCount="86">
  <si>
    <t>№ п/п</t>
  </si>
  <si>
    <t>Адрес МКД</t>
  </si>
  <si>
    <t>Количество этажей</t>
  </si>
  <si>
    <t>Общая площадь МКД, всего</t>
  </si>
  <si>
    <t>Стоимость капитального ремонта</t>
  </si>
  <si>
    <t>Плановая дата завершения работ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</si>
  <si>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</si>
  <si>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</si>
  <si>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</si>
  <si>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кв. м</t>
  </si>
  <si>
    <t>чел.</t>
  </si>
  <si>
    <t>руб.</t>
  </si>
  <si>
    <t>руб./кв. м</t>
  </si>
  <si>
    <t>Х</t>
  </si>
  <si>
    <t>всего</t>
  </si>
  <si>
    <t>в том числе</t>
  </si>
  <si>
    <t>Итого по Асиновскому району</t>
  </si>
  <si>
    <t>ремонт</t>
  </si>
  <si>
    <t>Площадь помещений МКД, кв. м</t>
  </si>
  <si>
    <t>Вид элемента строительных конструкций, оборудования, инженерных систем</t>
  </si>
  <si>
    <t xml:space="preserve">Вид работы (услуги) по капитальному ремонту </t>
  </si>
  <si>
    <t>Стоимость работы (услуги), руб.</t>
  </si>
  <si>
    <t>Удельная стоимость работы (услуги), руб./кв. м</t>
  </si>
  <si>
    <t>Предельная стоимость работы (услуги), руб./кв. м</t>
  </si>
  <si>
    <t>№
п/п</t>
  </si>
  <si>
    <t>за счет средств собственников 
помещений в МКД</t>
  </si>
  <si>
    <t>за счет других не запрещенных законом источников</t>
  </si>
  <si>
    <t>крыша</t>
  </si>
  <si>
    <t>строительный контроль</t>
  </si>
  <si>
    <t>Итого</t>
  </si>
  <si>
    <t>Д</t>
  </si>
  <si>
    <t>К</t>
  </si>
  <si>
    <t>разработка проектной документации, включая проведение проверки достоверности определения сметной стоимости</t>
  </si>
  <si>
    <t>внутридомовая инженерная система теплоснабжения</t>
  </si>
  <si>
    <t>Код МКД</t>
  </si>
  <si>
    <t>Материал стен &lt;4&gt;</t>
  </si>
  <si>
    <t>Год ввода в эксплуатацию</t>
  </si>
  <si>
    <t>Вид работы (услуги) 
по капитальному ремонту &lt;2&gt;</t>
  </si>
  <si>
    <t>Площадь помещений в МКД</t>
  </si>
  <si>
    <t>Способ формирования фонда капитального ремонта многоквартирного дома &lt;3&gt;</t>
  </si>
  <si>
    <t>Количество жителей, зарегистрированных в МКД 
на дату утверждения краткосрочного плана</t>
  </si>
  <si>
    <t>ПСД</t>
  </si>
  <si>
    <t>СМР</t>
  </si>
  <si>
    <t>внутридомовая инженерная система холодного водоснабжения</t>
  </si>
  <si>
    <t>внутридомовая инженерная система горячего водоснабжения</t>
  </si>
  <si>
    <t>ТС ХВС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</si>
  <si>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</si>
  <si>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</si>
  <si>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r>
      <t>Вид элемента строительных конструкций, 
оборудования, инженерных систем &lt;1&gt;</t>
    </r>
    <r>
      <rPr>
        <vertAlign val="superscript"/>
        <sz val="12"/>
        <color indexed="8"/>
        <rFont val="PT Astra Serif"/>
        <family val="1"/>
        <charset val="204"/>
      </rPr>
      <t>)</t>
    </r>
  </si>
  <si>
    <t>ТС ХВС ГВС</t>
  </si>
  <si>
    <t>внутридомовая инженерная система электроснабжения</t>
  </si>
  <si>
    <t>разработка проектной документации, включая проведение проверки достоверности определения сметной стоимости (ремонт)</t>
  </si>
  <si>
    <t>г. Асино, ул. Тельмана, д. 41</t>
  </si>
  <si>
    <t>г. Асино, ул. им. Крупской, д. 18</t>
  </si>
  <si>
    <t xml:space="preserve">ЭС </t>
  </si>
  <si>
    <t>Краткосрочный план реализации в 2026 - 2028 гг. региональной программы капитального ремонта общего имущества в многоквартирных домах</t>
  </si>
  <si>
    <t>1. Перечень многоквартирных домов, включенных в краткосрочный план реализации в 2026 - 2028 гг. региональной программы капитального ремонта общего имущества в многоквартирных домах</t>
  </si>
  <si>
    <t>2. Перечень работ и услуг по капитальному ремонту общего имущества в многоквартирных домах, включенных в краткосрочный план реализации в 2026 - 2028 гг. региональной программы капитального ремонта общего имущества в многоквартирных домах</t>
  </si>
  <si>
    <t>2026 год</t>
  </si>
  <si>
    <t>2027 год</t>
  </si>
  <si>
    <t>2028 год</t>
  </si>
  <si>
    <t>г. Асино, ул. Боровая, д. 2</t>
  </si>
  <si>
    <t>г. Асино, ул. им. Матросова, д. 7</t>
  </si>
  <si>
    <t>г. Асино, ул. Николая Довгалюка, д. 4</t>
  </si>
  <si>
    <t>г. Асино, ул. АВПУ, д. 33</t>
  </si>
  <si>
    <t>г. Асино, ул. Боровая, д. 6</t>
  </si>
  <si>
    <t>г. Асино, ул. им. Чернышевского, д. 15</t>
  </si>
  <si>
    <t>г. Асино, ул. имени Ленина, д. 5</t>
  </si>
  <si>
    <t>г. Асино, ул. имени В.В. Липатова, д. 29</t>
  </si>
  <si>
    <t>г. Асино, ул. Сентябрьская, д. 73</t>
  </si>
  <si>
    <t>СМР (з)</t>
  </si>
  <si>
    <t>г. Асино, ул. им. Олега Кошевого, д. 27</t>
  </si>
  <si>
    <t xml:space="preserve">&lt;1&gt; </t>
  </si>
  <si>
    <t>выбирается из списка: ЭС - ремонт внутридомовых инженерных систем электроснабжения; ГС - ремонт внутридомовых инженерных систем газоснабжения; ТС - ремонт внутридомовых инженерных систем теплоснабжения; ВО - ремонт внутридомовых инженерных систем водоотведения; ЛО - ремонт или замена лифтового оборудования, признанного непригодным для эксплуатации, ремонт лифтовых шахт; К - ремонт крыш/переустройство невентилируемой крыши на вентилируемую крышу/устройство выходов на кровлю; ПП - ремонт подвальных помещений, относящихся к общему имуществу в многоквартирных домах; РУФ - утепление и (или) ремонт фасадов; Ф - ремонт фундаментов; ГВС - ремонт внутридомовых инженерных систем горячего водоснабжения; ХВС - ремонт внутридомовых инженерных систем холодного водоснабжения; ПУ, УУ - установка коллективных (общедомовых) приборов учета потребления ресурсов необходимых для предоставления коммунальных услуг, и (или) узлов управления и регулирования потребления этих ресурсов (тепловой энергии, горячей и холодной воды, газа); НОК - ремонт и усиление несущих и ограждающих ненесущих конструкций, не отнесенные в соответствии с законодательством о градостроительной деятельности к реконструкции объектов капитального строительства; НОКр – замена и (или) восстановление несущих строительных конструкций многоквартирного дома и (или) инженерных сетей многоквартирного дома, отнесенные в соответствии с законодательством о градостроительной деятельности к реконструкции объектов капитального строительства; П – устройство, ремонт пандусов и иные работы по приспособлению общего имущества в многоквартирном доме в целях обеспечения его доступности для инвалидов и других маломобильных групп населения;</t>
  </si>
  <si>
    <t>&lt;2&gt;</t>
  </si>
  <si>
    <t>выбирается из списка: ПСД, СМР – разработка проектно-сметной документации, включая проведение проверки достоверности определения сметной стоимости и выполнение работ по капитальному ремонту и осуществлению строительного контроля; ПСД, СМР (н) – разработка проектно-сметной документации, включая проведение проверки достоверности определения сметной стоимости и начало работ по капитальному ремонту; СМР (з) – завершение работ по капитальному ремонту и осуществление строительного контроля; ПСД – разработка проектно-сметной документации, включая проведение проверки достоверности определения сметной стоимости; СМР – выполнение работ по капитальному ремонту и осуществление строительного контроля;</t>
  </si>
  <si>
    <t>&lt;3&gt;</t>
  </si>
  <si>
    <t>выбирается из списка: 1 - счет регионального оператора; 2 - специальный счет, владельцем которого является региональный оператор; 3 - специальный счет, владельцем которого является управляющая компания; 4 - специальный счет, владельцем которого является товарищество собственников жилья; 5 - специальный счет, владельцем которого является жилищный кооператив; 6 - специальный счет, владельцем которого является лицо, не указанное в кодах 2 – 5.</t>
  </si>
  <si>
    <t xml:space="preserve">&lt;4&gt; </t>
  </si>
  <si>
    <t>выбирается из списка: К - кирпичные, П - панельные, Д - деревянные, Пр - прочие.</t>
  </si>
  <si>
    <t>Примечание:</t>
  </si>
  <si>
    <t>МКД - многоквартирный дом,</t>
  </si>
  <si>
    <t>Фонд - государственная корпорация - Фонд содействия реформированию жилищно-коммунального хозяйства</t>
  </si>
  <si>
    <t xml:space="preserve"> городскому поселению</t>
  </si>
  <si>
    <t>Приложение 2 к постановлению от 23.12.2025 №1481/25</t>
  </si>
  <si>
    <t>Приложение 1 к постановлению
от 23.12.2025 № 1481/25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</si>
</sst>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PT Astra Serif"/>
      <family val="1"/>
      <charset val="204"/>
    </font>
    <font>
      <sz val="12"/>
      <name val="PT Astra Serif"/>
      <family val="1"/>
      <charset val="204"/>
    </font>
    <font>
      <vertAlign val="superscript"/>
      <sz val="12"/>
      <color indexed="8"/>
      <name val="PT Astra Serif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105">
    <xf numFmtId="0" fontId="0" fillId="0" borderId="0" xfId="0"/>
    <xf numFmtId="0" fontId="5" fillId="0" borderId="0" xfId="0" applyFont="1" applyFill="1"/>
    <xf numFmtId="0" fontId="5" fillId="0" borderId="0" xfId="0" applyFont="1" applyFill="1" applyAlignment="1"/>
    <xf numFmtId="0" fontId="2" fillId="0" borderId="0" xfId="0" applyFont="1" applyFill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/>
    <xf numFmtId="0" fontId="2" fillId="0" borderId="0" xfId="0" applyFont="1" applyFill="1"/>
    <xf numFmtId="4" fontId="2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/>
    <xf numFmtId="4" fontId="2" fillId="0" borderId="3" xfId="0" applyNumberFormat="1" applyFont="1" applyFill="1" applyBorder="1" applyAlignment="1">
      <alignment horizontal="center" vertical="top"/>
    </xf>
    <xf numFmtId="1" fontId="2" fillId="0" borderId="1" xfId="0" quotePrefix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1" fontId="7" fillId="0" borderId="1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3" fontId="2" fillId="0" borderId="1" xfId="0" quotePrefix="1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 vertical="center" textRotation="90" wrapText="1"/>
    </xf>
    <xf numFmtId="4" fontId="5" fillId="0" borderId="7" xfId="0" applyNumberFormat="1" applyFont="1" applyFill="1" applyBorder="1" applyAlignment="1">
      <alignment horizontal="center" vertical="center" textRotation="90" wrapText="1"/>
    </xf>
    <xf numFmtId="4" fontId="5" fillId="0" borderId="3" xfId="0" applyNumberFormat="1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center" textRotation="90" wrapText="1"/>
    </xf>
    <xf numFmtId="3" fontId="5" fillId="0" borderId="7" xfId="0" applyNumberFormat="1" applyFont="1" applyFill="1" applyBorder="1" applyAlignment="1">
      <alignment horizontal="center" vertical="center" textRotation="90" wrapText="1"/>
    </xf>
    <xf numFmtId="3" fontId="5" fillId="0" borderId="3" xfId="0" applyNumberFormat="1" applyFont="1" applyFill="1" applyBorder="1" applyAlignment="1">
      <alignment horizontal="center" vertical="center" textRotation="90" wrapText="1"/>
    </xf>
    <xf numFmtId="1" fontId="6" fillId="0" borderId="2" xfId="0" applyNumberFormat="1" applyFont="1" applyFill="1" applyBorder="1" applyAlignment="1">
      <alignment horizontal="center" vertical="center" textRotation="90" wrapText="1"/>
    </xf>
    <xf numFmtId="1" fontId="6" fillId="0" borderId="7" xfId="0" applyNumberFormat="1" applyFont="1" applyFill="1" applyBorder="1" applyAlignment="1">
      <alignment horizontal="center" vertical="center" textRotation="90" wrapText="1"/>
    </xf>
    <xf numFmtId="1" fontId="6" fillId="0" borderId="3" xfId="0" applyNumberFormat="1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textRotation="90" wrapText="1"/>
    </xf>
    <xf numFmtId="4" fontId="5" fillId="0" borderId="9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tabSelected="1" view="pageBreakPreview" zoomScale="87" zoomScaleNormal="87" zoomScaleSheetLayoutView="87" workbookViewId="0">
      <selection activeCell="N1" sqref="N1:R1"/>
    </sheetView>
  </sheetViews>
  <sheetFormatPr defaultColWidth="9.140625" defaultRowHeight="15.75"/>
  <cols>
    <col min="1" max="1" width="5.5703125" style="52" customWidth="1"/>
    <col min="2" max="2" width="7.140625" style="52" customWidth="1"/>
    <col min="3" max="3" width="49.85546875" style="11" customWidth="1"/>
    <col min="4" max="4" width="9.140625" style="3" bestFit="1" customWidth="1"/>
    <col min="5" max="5" width="16.7109375" style="3" customWidth="1"/>
    <col min="6" max="6" width="15.28515625" style="3" customWidth="1"/>
    <col min="7" max="7" width="12.85546875" style="3" customWidth="1"/>
    <col min="8" max="8" width="12.5703125" style="3" bestFit="1" customWidth="1"/>
    <col min="9" max="9" width="14.28515625" style="3" customWidth="1"/>
    <col min="10" max="10" width="17.85546875" style="11" customWidth="1"/>
    <col min="11" max="11" width="6.7109375" style="11" customWidth="1"/>
    <col min="12" max="13" width="6.85546875" style="11" bestFit="1" customWidth="1"/>
    <col min="14" max="14" width="16.28515625" style="11" customWidth="1"/>
    <col min="15" max="15" width="17.28515625" style="11" customWidth="1"/>
    <col min="16" max="16" width="14.5703125" style="3" customWidth="1"/>
    <col min="17" max="17" width="11.5703125" style="3" customWidth="1"/>
    <col min="18" max="18" width="9.42578125" style="3" customWidth="1"/>
    <col min="19" max="19" width="11.28515625" style="11" customWidth="1"/>
    <col min="20" max="68" width="9.140625" style="11"/>
    <col min="69" max="69" width="3.5703125" style="11" customWidth="1"/>
    <col min="70" max="70" width="14.28515625" style="11" customWidth="1"/>
    <col min="71" max="87" width="9.28515625" style="11" customWidth="1"/>
    <col min="88" max="16384" width="9.140625" style="11"/>
  </cols>
  <sheetData>
    <row r="1" spans="1:19" ht="67.5" customHeight="1">
      <c r="A1" s="50"/>
      <c r="B1" s="50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57" t="s">
        <v>85</v>
      </c>
      <c r="O1" s="57"/>
      <c r="P1" s="57"/>
      <c r="Q1" s="57"/>
      <c r="R1" s="57"/>
    </row>
    <row r="2" spans="1:19">
      <c r="A2" s="58" t="s">
        <v>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9" ht="16.5" customHeight="1">
      <c r="A3" s="58" t="s">
        <v>56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</row>
    <row r="4" spans="1:19" ht="15" customHeight="1">
      <c r="A4" s="71" t="s">
        <v>0</v>
      </c>
      <c r="B4" s="62" t="s">
        <v>34</v>
      </c>
      <c r="C4" s="77" t="s">
        <v>1</v>
      </c>
      <c r="D4" s="77" t="s">
        <v>36</v>
      </c>
      <c r="E4" s="74" t="s">
        <v>48</v>
      </c>
      <c r="F4" s="74" t="s">
        <v>37</v>
      </c>
      <c r="G4" s="54" t="s">
        <v>3</v>
      </c>
      <c r="H4" s="54" t="s">
        <v>38</v>
      </c>
      <c r="I4" s="59" t="s">
        <v>40</v>
      </c>
      <c r="J4" s="68" t="s">
        <v>4</v>
      </c>
      <c r="K4" s="68"/>
      <c r="L4" s="68"/>
      <c r="M4" s="68"/>
      <c r="N4" s="68"/>
      <c r="O4" s="68"/>
      <c r="P4" s="54" t="s">
        <v>46</v>
      </c>
      <c r="Q4" s="54" t="s">
        <v>47</v>
      </c>
      <c r="R4" s="54" t="s">
        <v>5</v>
      </c>
      <c r="S4" s="59" t="s">
        <v>39</v>
      </c>
    </row>
    <row r="5" spans="1:19" ht="15" customHeight="1">
      <c r="A5" s="72"/>
      <c r="B5" s="63"/>
      <c r="C5" s="78"/>
      <c r="D5" s="78"/>
      <c r="E5" s="75"/>
      <c r="F5" s="75"/>
      <c r="G5" s="55"/>
      <c r="H5" s="55"/>
      <c r="I5" s="60"/>
      <c r="J5" s="69" t="s">
        <v>14</v>
      </c>
      <c r="K5" s="68" t="s">
        <v>15</v>
      </c>
      <c r="L5" s="68"/>
      <c r="M5" s="68"/>
      <c r="N5" s="68"/>
      <c r="O5" s="68"/>
      <c r="P5" s="55"/>
      <c r="Q5" s="55"/>
      <c r="R5" s="55"/>
      <c r="S5" s="60"/>
    </row>
    <row r="6" spans="1:19" ht="177.75" customHeight="1">
      <c r="A6" s="72"/>
      <c r="B6" s="63"/>
      <c r="C6" s="78"/>
      <c r="D6" s="78"/>
      <c r="E6" s="75"/>
      <c r="F6" s="75"/>
      <c r="G6" s="56"/>
      <c r="H6" s="56"/>
      <c r="I6" s="61"/>
      <c r="J6" s="69"/>
      <c r="K6" s="19" t="s">
        <v>6</v>
      </c>
      <c r="L6" s="19" t="s">
        <v>7</v>
      </c>
      <c r="M6" s="19" t="s">
        <v>8</v>
      </c>
      <c r="N6" s="19" t="s">
        <v>25</v>
      </c>
      <c r="O6" s="19" t="s">
        <v>26</v>
      </c>
      <c r="P6" s="56"/>
      <c r="Q6" s="56"/>
      <c r="R6" s="55"/>
      <c r="S6" s="60"/>
    </row>
    <row r="7" spans="1:19" ht="15" customHeight="1">
      <c r="A7" s="73"/>
      <c r="B7" s="64"/>
      <c r="C7" s="79"/>
      <c r="D7" s="79"/>
      <c r="E7" s="76"/>
      <c r="F7" s="76"/>
      <c r="G7" s="18" t="s">
        <v>9</v>
      </c>
      <c r="H7" s="18" t="s">
        <v>9</v>
      </c>
      <c r="I7" s="51" t="s">
        <v>10</v>
      </c>
      <c r="J7" s="18" t="s">
        <v>11</v>
      </c>
      <c r="K7" s="18" t="s">
        <v>11</v>
      </c>
      <c r="L7" s="18" t="s">
        <v>11</v>
      </c>
      <c r="M7" s="18" t="s">
        <v>11</v>
      </c>
      <c r="N7" s="18" t="s">
        <v>11</v>
      </c>
      <c r="O7" s="18" t="s">
        <v>11</v>
      </c>
      <c r="P7" s="18" t="s">
        <v>12</v>
      </c>
      <c r="Q7" s="18" t="s">
        <v>12</v>
      </c>
      <c r="R7" s="56"/>
      <c r="S7" s="61"/>
    </row>
    <row r="8" spans="1:19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  <c r="N8" s="20">
        <v>14</v>
      </c>
      <c r="O8" s="20">
        <v>15</v>
      </c>
      <c r="P8" s="20">
        <v>16</v>
      </c>
      <c r="Q8" s="20">
        <v>17</v>
      </c>
      <c r="R8" s="20">
        <v>18</v>
      </c>
      <c r="S8" s="20">
        <v>19</v>
      </c>
    </row>
    <row r="9" spans="1:19" ht="15" customHeight="1">
      <c r="A9" s="70" t="s">
        <v>83</v>
      </c>
      <c r="B9" s="70"/>
      <c r="C9" s="70"/>
      <c r="D9" s="40" t="s">
        <v>13</v>
      </c>
      <c r="E9" s="40" t="s">
        <v>13</v>
      </c>
      <c r="F9" s="40" t="s">
        <v>13</v>
      </c>
      <c r="G9" s="12">
        <v>25498.87</v>
      </c>
      <c r="H9" s="12">
        <v>20033.59</v>
      </c>
      <c r="I9" s="13">
        <v>705</v>
      </c>
      <c r="J9" s="12">
        <v>116150157.52</v>
      </c>
      <c r="K9" s="12">
        <v>0</v>
      </c>
      <c r="L9" s="12">
        <v>0</v>
      </c>
      <c r="M9" s="12">
        <v>0</v>
      </c>
      <c r="N9" s="12">
        <v>113601375.31999999</v>
      </c>
      <c r="O9" s="12">
        <v>2548782.2000000002</v>
      </c>
      <c r="P9" s="12" t="s">
        <v>13</v>
      </c>
      <c r="Q9" s="12" t="s">
        <v>13</v>
      </c>
      <c r="R9" s="12" t="s">
        <v>13</v>
      </c>
      <c r="S9" s="12" t="s">
        <v>13</v>
      </c>
    </row>
    <row r="10" spans="1:19">
      <c r="A10" s="65" t="s">
        <v>58</v>
      </c>
      <c r="B10" s="66"/>
      <c r="C10" s="67"/>
      <c r="D10" s="40" t="s">
        <v>13</v>
      </c>
      <c r="E10" s="40" t="s">
        <v>13</v>
      </c>
      <c r="F10" s="40" t="s">
        <v>13</v>
      </c>
      <c r="G10" s="12">
        <v>9587.56</v>
      </c>
      <c r="H10" s="12">
        <v>7528.71</v>
      </c>
      <c r="I10" s="13">
        <v>268</v>
      </c>
      <c r="J10" s="12">
        <v>32638781</v>
      </c>
      <c r="K10" s="12">
        <v>0</v>
      </c>
      <c r="L10" s="12">
        <v>0</v>
      </c>
      <c r="M10" s="12">
        <v>0</v>
      </c>
      <c r="N10" s="12">
        <v>30089998.800000001</v>
      </c>
      <c r="O10" s="12">
        <v>2548782.2000000002</v>
      </c>
      <c r="P10" s="12" t="s">
        <v>13</v>
      </c>
      <c r="Q10" s="12" t="s">
        <v>13</v>
      </c>
      <c r="R10" s="12" t="s">
        <v>13</v>
      </c>
      <c r="S10" s="12" t="s">
        <v>13</v>
      </c>
    </row>
    <row r="11" spans="1:19" s="14" customFormat="1" ht="15.75" customHeight="1">
      <c r="A11" s="38">
        <v>1</v>
      </c>
      <c r="B11" s="43">
        <v>4504</v>
      </c>
      <c r="C11" s="28" t="s">
        <v>64</v>
      </c>
      <c r="D11" s="40">
        <v>1962</v>
      </c>
      <c r="E11" s="40" t="s">
        <v>45</v>
      </c>
      <c r="F11" s="40" t="s">
        <v>70</v>
      </c>
      <c r="G11" s="12">
        <v>1413.1</v>
      </c>
      <c r="H11" s="12">
        <v>996.06</v>
      </c>
      <c r="I11" s="13">
        <v>34</v>
      </c>
      <c r="J11" s="12">
        <v>3811747.21</v>
      </c>
      <c r="K11" s="12">
        <v>0</v>
      </c>
      <c r="L11" s="12">
        <v>0</v>
      </c>
      <c r="M11" s="12">
        <v>0</v>
      </c>
      <c r="N11" s="12">
        <v>3509147.2</v>
      </c>
      <c r="O11" s="12">
        <v>302600.01</v>
      </c>
      <c r="P11" s="12">
        <v>3826.82</v>
      </c>
      <c r="Q11" s="12">
        <v>11479</v>
      </c>
      <c r="R11" s="16">
        <v>2026</v>
      </c>
      <c r="S11" s="29">
        <v>1</v>
      </c>
    </row>
    <row r="12" spans="1:19" s="14" customFormat="1" ht="15.75" customHeight="1">
      <c r="A12" s="38">
        <v>2</v>
      </c>
      <c r="B12" s="43">
        <v>4507</v>
      </c>
      <c r="C12" s="28" t="s">
        <v>65</v>
      </c>
      <c r="D12" s="40">
        <v>1969</v>
      </c>
      <c r="E12" s="40" t="s">
        <v>49</v>
      </c>
      <c r="F12" s="40" t="s">
        <v>70</v>
      </c>
      <c r="G12" s="12">
        <v>944.64</v>
      </c>
      <c r="H12" s="12">
        <v>862.24</v>
      </c>
      <c r="I12" s="13">
        <v>34</v>
      </c>
      <c r="J12" s="12">
        <v>4079347.88</v>
      </c>
      <c r="K12" s="12">
        <v>0</v>
      </c>
      <c r="L12" s="12">
        <v>0</v>
      </c>
      <c r="M12" s="12">
        <v>0</v>
      </c>
      <c r="N12" s="12">
        <v>3755504.07</v>
      </c>
      <c r="O12" s="12">
        <v>323843.81</v>
      </c>
      <c r="P12" s="12">
        <v>4731.1000000000004</v>
      </c>
      <c r="Q12" s="12">
        <v>13824</v>
      </c>
      <c r="R12" s="16">
        <v>2026</v>
      </c>
      <c r="S12" s="29">
        <v>1</v>
      </c>
    </row>
    <row r="13" spans="1:19" ht="15" customHeight="1">
      <c r="A13" s="38">
        <v>3</v>
      </c>
      <c r="B13" s="39">
        <v>4407</v>
      </c>
      <c r="C13" s="24" t="s">
        <v>53</v>
      </c>
      <c r="D13" s="40">
        <v>1975</v>
      </c>
      <c r="E13" s="42" t="s">
        <v>49</v>
      </c>
      <c r="F13" s="40" t="s">
        <v>42</v>
      </c>
      <c r="G13" s="41">
        <v>1522.7</v>
      </c>
      <c r="H13" s="41">
        <v>1089.2</v>
      </c>
      <c r="I13" s="26">
        <v>42</v>
      </c>
      <c r="J13" s="12">
        <v>12516111.539999999</v>
      </c>
      <c r="K13" s="12">
        <v>0</v>
      </c>
      <c r="L13" s="12">
        <v>0</v>
      </c>
      <c r="M13" s="12">
        <v>0</v>
      </c>
      <c r="N13" s="12">
        <v>11522505.369999999</v>
      </c>
      <c r="O13" s="12">
        <v>993606.17</v>
      </c>
      <c r="P13" s="12">
        <v>11491.1</v>
      </c>
      <c r="Q13" s="12">
        <v>11514</v>
      </c>
      <c r="R13" s="16">
        <v>2026</v>
      </c>
      <c r="S13" s="29">
        <v>1</v>
      </c>
    </row>
    <row r="14" spans="1:19" ht="15" customHeight="1">
      <c r="A14" s="38">
        <v>4</v>
      </c>
      <c r="B14" s="39">
        <v>8469</v>
      </c>
      <c r="C14" s="24" t="s">
        <v>62</v>
      </c>
      <c r="D14" s="40">
        <v>1967</v>
      </c>
      <c r="E14" s="42" t="s">
        <v>31</v>
      </c>
      <c r="F14" s="40" t="s">
        <v>41</v>
      </c>
      <c r="G14" s="41">
        <v>276.7</v>
      </c>
      <c r="H14" s="41">
        <v>220.6</v>
      </c>
      <c r="I14" s="26">
        <v>14</v>
      </c>
      <c r="J14" s="12">
        <v>116035.6</v>
      </c>
      <c r="K14" s="12">
        <v>0</v>
      </c>
      <c r="L14" s="12">
        <v>0</v>
      </c>
      <c r="M14" s="12">
        <v>0</v>
      </c>
      <c r="N14" s="12">
        <v>106823.98</v>
      </c>
      <c r="O14" s="12">
        <v>9211.6200000000008</v>
      </c>
      <c r="P14" s="12">
        <v>526</v>
      </c>
      <c r="Q14" s="12">
        <v>526</v>
      </c>
      <c r="R14" s="16">
        <v>2026</v>
      </c>
      <c r="S14" s="29">
        <v>1</v>
      </c>
    </row>
    <row r="15" spans="1:19" ht="15" customHeight="1">
      <c r="A15" s="38">
        <v>5</v>
      </c>
      <c r="B15" s="39">
        <v>4525</v>
      </c>
      <c r="C15" s="31" t="s">
        <v>71</v>
      </c>
      <c r="D15" s="40">
        <v>1992</v>
      </c>
      <c r="E15" s="42" t="s">
        <v>31</v>
      </c>
      <c r="F15" s="40" t="s">
        <v>41</v>
      </c>
      <c r="G15" s="41">
        <v>2623.21</v>
      </c>
      <c r="H15" s="41">
        <v>1787.52</v>
      </c>
      <c r="I15" s="26">
        <v>51</v>
      </c>
      <c r="J15" s="12">
        <v>868734.72</v>
      </c>
      <c r="K15" s="12">
        <v>0</v>
      </c>
      <c r="L15" s="12">
        <v>0</v>
      </c>
      <c r="M15" s="12">
        <v>0</v>
      </c>
      <c r="N15" s="12">
        <v>799769.2</v>
      </c>
      <c r="O15" s="12">
        <v>68965.52</v>
      </c>
      <c r="P15" s="12">
        <v>486</v>
      </c>
      <c r="Q15" s="12">
        <v>486</v>
      </c>
      <c r="R15" s="16">
        <v>2026</v>
      </c>
      <c r="S15" s="29">
        <v>1</v>
      </c>
    </row>
    <row r="16" spans="1:19" ht="15.75" customHeight="1">
      <c r="A16" s="38">
        <v>6</v>
      </c>
      <c r="B16" s="43">
        <v>4550</v>
      </c>
      <c r="C16" s="35" t="s">
        <v>66</v>
      </c>
      <c r="D16" s="40">
        <v>1964</v>
      </c>
      <c r="E16" s="40" t="s">
        <v>45</v>
      </c>
      <c r="F16" s="40" t="s">
        <v>70</v>
      </c>
      <c r="G16" s="12">
        <v>1075.7</v>
      </c>
      <c r="H16" s="12">
        <v>1003.2</v>
      </c>
      <c r="I16" s="13">
        <v>41</v>
      </c>
      <c r="J16" s="12">
        <v>3795691.15</v>
      </c>
      <c r="K16" s="12">
        <v>0</v>
      </c>
      <c r="L16" s="12">
        <v>0</v>
      </c>
      <c r="M16" s="12">
        <v>0</v>
      </c>
      <c r="N16" s="12">
        <v>3494365.76</v>
      </c>
      <c r="O16" s="12">
        <v>301325.39</v>
      </c>
      <c r="P16" s="12">
        <v>3783.58</v>
      </c>
      <c r="Q16" s="12">
        <v>9169</v>
      </c>
      <c r="R16" s="16">
        <v>2026</v>
      </c>
      <c r="S16" s="29">
        <v>1</v>
      </c>
    </row>
    <row r="17" spans="1:19" ht="15.75" customHeight="1">
      <c r="A17" s="38">
        <v>7</v>
      </c>
      <c r="B17" s="43">
        <v>4400</v>
      </c>
      <c r="C17" s="28" t="s">
        <v>68</v>
      </c>
      <c r="D17" s="40">
        <v>1964</v>
      </c>
      <c r="E17" s="40" t="s">
        <v>49</v>
      </c>
      <c r="F17" s="40" t="s">
        <v>70</v>
      </c>
      <c r="G17" s="12">
        <v>430.79</v>
      </c>
      <c r="H17" s="12">
        <v>390.28</v>
      </c>
      <c r="I17" s="13">
        <v>11</v>
      </c>
      <c r="J17" s="12">
        <v>2231343.19</v>
      </c>
      <c r="K17" s="12">
        <v>0</v>
      </c>
      <c r="L17" s="12">
        <v>0</v>
      </c>
      <c r="M17" s="12">
        <v>0</v>
      </c>
      <c r="N17" s="12">
        <v>2054205.4</v>
      </c>
      <c r="O17" s="12">
        <v>177137.79</v>
      </c>
      <c r="P17" s="12">
        <v>5717.29</v>
      </c>
      <c r="Q17" s="12">
        <v>13824</v>
      </c>
      <c r="R17" s="16">
        <v>2026</v>
      </c>
      <c r="S17" s="29">
        <v>1</v>
      </c>
    </row>
    <row r="18" spans="1:19" ht="15.75" customHeight="1">
      <c r="A18" s="38">
        <v>8</v>
      </c>
      <c r="B18" s="43">
        <v>4417</v>
      </c>
      <c r="C18" s="28" t="s">
        <v>67</v>
      </c>
      <c r="D18" s="40">
        <v>1962</v>
      </c>
      <c r="E18" s="40" t="s">
        <v>49</v>
      </c>
      <c r="F18" s="40" t="s">
        <v>70</v>
      </c>
      <c r="G18" s="12">
        <v>554.5</v>
      </c>
      <c r="H18" s="30">
        <v>495.73</v>
      </c>
      <c r="I18" s="13">
        <v>14</v>
      </c>
      <c r="J18" s="12">
        <v>2163560.7200000002</v>
      </c>
      <c r="K18" s="12">
        <v>0</v>
      </c>
      <c r="L18" s="12">
        <v>0</v>
      </c>
      <c r="M18" s="12">
        <v>0</v>
      </c>
      <c r="N18" s="12">
        <v>2034089.56</v>
      </c>
      <c r="O18" s="12">
        <v>129471.16</v>
      </c>
      <c r="P18" s="12">
        <v>4364.3900000000003</v>
      </c>
      <c r="Q18" s="12">
        <v>13824</v>
      </c>
      <c r="R18" s="16">
        <v>2026</v>
      </c>
      <c r="S18" s="29">
        <v>1</v>
      </c>
    </row>
    <row r="19" spans="1:19" ht="15.75" customHeight="1">
      <c r="A19" s="38">
        <v>9</v>
      </c>
      <c r="B19" s="43">
        <v>4530</v>
      </c>
      <c r="C19" s="28" t="s">
        <v>69</v>
      </c>
      <c r="D19" s="40">
        <v>1963</v>
      </c>
      <c r="E19" s="40" t="s">
        <v>45</v>
      </c>
      <c r="F19" s="40" t="s">
        <v>70</v>
      </c>
      <c r="G19" s="12">
        <v>324.39999999999998</v>
      </c>
      <c r="H19" s="12">
        <v>300.3</v>
      </c>
      <c r="I19" s="13">
        <v>14</v>
      </c>
      <c r="J19" s="12">
        <v>1669552.51</v>
      </c>
      <c r="K19" s="12">
        <v>0</v>
      </c>
      <c r="L19" s="12">
        <v>0</v>
      </c>
      <c r="M19" s="12">
        <v>0</v>
      </c>
      <c r="N19" s="12">
        <v>1537013.13</v>
      </c>
      <c r="O19" s="12">
        <v>132539.38</v>
      </c>
      <c r="P19" s="12">
        <v>5559.62</v>
      </c>
      <c r="Q19" s="12">
        <v>11479</v>
      </c>
      <c r="R19" s="16">
        <v>2026</v>
      </c>
      <c r="S19" s="29">
        <v>1</v>
      </c>
    </row>
    <row r="20" spans="1:19" ht="15" customHeight="1">
      <c r="A20" s="38">
        <v>10</v>
      </c>
      <c r="B20" s="27">
        <v>4549</v>
      </c>
      <c r="C20" s="34" t="s">
        <v>52</v>
      </c>
      <c r="D20" s="40">
        <v>1964</v>
      </c>
      <c r="E20" s="40" t="s">
        <v>54</v>
      </c>
      <c r="F20" s="40" t="s">
        <v>42</v>
      </c>
      <c r="G20" s="12">
        <v>421.82</v>
      </c>
      <c r="H20" s="12">
        <v>383.58</v>
      </c>
      <c r="I20" s="13">
        <v>13</v>
      </c>
      <c r="J20" s="12">
        <v>1386656.48</v>
      </c>
      <c r="K20" s="12">
        <v>0</v>
      </c>
      <c r="L20" s="12">
        <v>0</v>
      </c>
      <c r="M20" s="12">
        <v>0</v>
      </c>
      <c r="N20" s="12">
        <v>1276575.1299999999</v>
      </c>
      <c r="O20" s="12">
        <v>110081.35</v>
      </c>
      <c r="P20" s="12">
        <v>3615.04</v>
      </c>
      <c r="Q20" s="12">
        <v>3673</v>
      </c>
      <c r="R20" s="16">
        <v>2026</v>
      </c>
      <c r="S20" s="29">
        <v>1</v>
      </c>
    </row>
    <row r="21" spans="1:19">
      <c r="A21" s="65" t="s">
        <v>59</v>
      </c>
      <c r="B21" s="66"/>
      <c r="C21" s="67"/>
      <c r="D21" s="40" t="s">
        <v>13</v>
      </c>
      <c r="E21" s="40" t="s">
        <v>13</v>
      </c>
      <c r="F21" s="40" t="s">
        <v>13</v>
      </c>
      <c r="G21" s="12">
        <v>9405.61</v>
      </c>
      <c r="H21" s="12">
        <v>7256.5</v>
      </c>
      <c r="I21" s="21">
        <v>251</v>
      </c>
      <c r="J21" s="12">
        <v>38202927.619999997</v>
      </c>
      <c r="K21" s="12">
        <v>0</v>
      </c>
      <c r="L21" s="12">
        <v>0</v>
      </c>
      <c r="M21" s="12">
        <v>0</v>
      </c>
      <c r="N21" s="12">
        <v>38202927.619999997</v>
      </c>
      <c r="O21" s="12">
        <v>0</v>
      </c>
      <c r="P21" s="12" t="s">
        <v>13</v>
      </c>
      <c r="Q21" s="12" t="s">
        <v>13</v>
      </c>
      <c r="R21" s="12" t="s">
        <v>13</v>
      </c>
      <c r="S21" s="12" t="s">
        <v>13</v>
      </c>
    </row>
    <row r="22" spans="1:19" ht="15" customHeight="1">
      <c r="A22" s="36">
        <v>1</v>
      </c>
      <c r="B22" s="39">
        <v>4558</v>
      </c>
      <c r="C22" s="24" t="s">
        <v>61</v>
      </c>
      <c r="D22" s="40">
        <v>1968</v>
      </c>
      <c r="E22" s="40" t="s">
        <v>45</v>
      </c>
      <c r="F22" s="40" t="s">
        <v>41</v>
      </c>
      <c r="G22" s="41">
        <v>945.4</v>
      </c>
      <c r="H22" s="41">
        <v>860.1</v>
      </c>
      <c r="I22" s="26">
        <v>37</v>
      </c>
      <c r="J22" s="15">
        <v>467034.3</v>
      </c>
      <c r="K22" s="12">
        <v>0</v>
      </c>
      <c r="L22" s="12">
        <v>0</v>
      </c>
      <c r="M22" s="12">
        <v>0</v>
      </c>
      <c r="N22" s="12">
        <v>467034.3</v>
      </c>
      <c r="O22" s="12">
        <v>0</v>
      </c>
      <c r="P22" s="15">
        <v>543</v>
      </c>
      <c r="Q22" s="15">
        <v>543</v>
      </c>
      <c r="R22" s="16">
        <v>2027</v>
      </c>
      <c r="S22" s="29">
        <v>1</v>
      </c>
    </row>
    <row r="23" spans="1:19" ht="15" customHeight="1">
      <c r="A23" s="36">
        <v>2</v>
      </c>
      <c r="B23" s="39">
        <v>8469</v>
      </c>
      <c r="C23" s="24" t="s">
        <v>62</v>
      </c>
      <c r="D23" s="40">
        <v>1967</v>
      </c>
      <c r="E23" s="42" t="s">
        <v>31</v>
      </c>
      <c r="F23" s="40" t="s">
        <v>42</v>
      </c>
      <c r="G23" s="41">
        <v>276.7</v>
      </c>
      <c r="H23" s="41">
        <v>220.6</v>
      </c>
      <c r="I23" s="26">
        <v>14</v>
      </c>
      <c r="J23" s="12">
        <v>5317342.4000000004</v>
      </c>
      <c r="K23" s="12">
        <v>0</v>
      </c>
      <c r="L23" s="12">
        <v>0</v>
      </c>
      <c r="M23" s="12">
        <v>0</v>
      </c>
      <c r="N23" s="12">
        <v>5317342.4000000004</v>
      </c>
      <c r="O23" s="12">
        <v>0</v>
      </c>
      <c r="P23" s="12">
        <v>24104</v>
      </c>
      <c r="Q23" s="12">
        <v>24104</v>
      </c>
      <c r="R23" s="16">
        <v>2027</v>
      </c>
      <c r="S23" s="29">
        <v>1</v>
      </c>
    </row>
    <row r="24" spans="1:19" ht="15" customHeight="1">
      <c r="A24" s="36">
        <v>3</v>
      </c>
      <c r="B24" s="39">
        <v>4525</v>
      </c>
      <c r="C24" s="31" t="s">
        <v>71</v>
      </c>
      <c r="D24" s="40">
        <v>1992</v>
      </c>
      <c r="E24" s="42" t="s">
        <v>31</v>
      </c>
      <c r="F24" s="40" t="s">
        <v>42</v>
      </c>
      <c r="G24" s="41">
        <v>2623.21</v>
      </c>
      <c r="H24" s="41">
        <v>1787.52</v>
      </c>
      <c r="I24" s="26">
        <v>51</v>
      </c>
      <c r="J24" s="12">
        <v>30913370.879999999</v>
      </c>
      <c r="K24" s="12">
        <v>0</v>
      </c>
      <c r="L24" s="12">
        <v>0</v>
      </c>
      <c r="M24" s="12">
        <v>0</v>
      </c>
      <c r="N24" s="12">
        <v>30913370.879999999</v>
      </c>
      <c r="O24" s="12">
        <v>0</v>
      </c>
      <c r="P24" s="12">
        <v>17294</v>
      </c>
      <c r="Q24" s="12">
        <v>17294</v>
      </c>
      <c r="R24" s="16">
        <v>2027</v>
      </c>
      <c r="S24" s="29">
        <v>1</v>
      </c>
    </row>
    <row r="25" spans="1:19" ht="15" customHeight="1">
      <c r="A25" s="36">
        <v>4</v>
      </c>
      <c r="B25" s="43">
        <v>4512</v>
      </c>
      <c r="C25" s="25" t="s">
        <v>63</v>
      </c>
      <c r="D25" s="40">
        <v>1975</v>
      </c>
      <c r="E25" s="42" t="s">
        <v>49</v>
      </c>
      <c r="F25" s="40" t="s">
        <v>41</v>
      </c>
      <c r="G25" s="41">
        <v>5560.3</v>
      </c>
      <c r="H25" s="44">
        <v>4388.28</v>
      </c>
      <c r="I25" s="26">
        <v>149</v>
      </c>
      <c r="J25" s="12">
        <v>1505180.04</v>
      </c>
      <c r="K25" s="12">
        <v>0</v>
      </c>
      <c r="L25" s="12">
        <v>0</v>
      </c>
      <c r="M25" s="12">
        <v>0</v>
      </c>
      <c r="N25" s="12">
        <v>1505180.04</v>
      </c>
      <c r="O25" s="12">
        <v>0</v>
      </c>
      <c r="P25" s="12">
        <v>343</v>
      </c>
      <c r="Q25" s="12">
        <v>343</v>
      </c>
      <c r="R25" s="16">
        <v>2027</v>
      </c>
      <c r="S25" s="29">
        <v>1</v>
      </c>
    </row>
    <row r="26" spans="1:19">
      <c r="A26" s="65" t="s">
        <v>60</v>
      </c>
      <c r="B26" s="66"/>
      <c r="C26" s="67"/>
      <c r="D26" s="40" t="s">
        <v>13</v>
      </c>
      <c r="E26" s="40" t="s">
        <v>13</v>
      </c>
      <c r="F26" s="40" t="s">
        <v>13</v>
      </c>
      <c r="G26" s="12">
        <v>6505.7</v>
      </c>
      <c r="H26" s="12">
        <v>5248.38</v>
      </c>
      <c r="I26" s="21">
        <v>186</v>
      </c>
      <c r="J26" s="12">
        <v>45308448.899999999</v>
      </c>
      <c r="K26" s="12">
        <v>0</v>
      </c>
      <c r="L26" s="12">
        <v>0</v>
      </c>
      <c r="M26" s="12">
        <v>0</v>
      </c>
      <c r="N26" s="12">
        <v>45308448.899999999</v>
      </c>
      <c r="O26" s="12">
        <v>0</v>
      </c>
      <c r="P26" s="12" t="s">
        <v>13</v>
      </c>
      <c r="Q26" s="12" t="s">
        <v>13</v>
      </c>
      <c r="R26" s="12" t="s">
        <v>13</v>
      </c>
      <c r="S26" s="12" t="s">
        <v>13</v>
      </c>
    </row>
    <row r="27" spans="1:19">
      <c r="A27" s="32">
        <v>1</v>
      </c>
      <c r="B27" s="39">
        <v>4558</v>
      </c>
      <c r="C27" s="24" t="s">
        <v>61</v>
      </c>
      <c r="D27" s="40">
        <v>1968</v>
      </c>
      <c r="E27" s="40" t="s">
        <v>45</v>
      </c>
      <c r="F27" s="40" t="s">
        <v>42</v>
      </c>
      <c r="G27" s="41">
        <v>945.4</v>
      </c>
      <c r="H27" s="41">
        <v>860.1</v>
      </c>
      <c r="I27" s="26">
        <v>37</v>
      </c>
      <c r="J27" s="15">
        <v>9873087.9000000004</v>
      </c>
      <c r="K27" s="12">
        <v>0</v>
      </c>
      <c r="L27" s="12">
        <v>0</v>
      </c>
      <c r="M27" s="12">
        <v>0</v>
      </c>
      <c r="N27" s="12">
        <v>9873087.9000000004</v>
      </c>
      <c r="O27" s="12">
        <v>0</v>
      </c>
      <c r="P27" s="15">
        <v>11479</v>
      </c>
      <c r="Q27" s="12">
        <v>11479</v>
      </c>
      <c r="R27" s="16">
        <v>2028</v>
      </c>
      <c r="S27" s="29">
        <v>1</v>
      </c>
    </row>
    <row r="28" spans="1:19" ht="15" customHeight="1">
      <c r="A28" s="33">
        <v>2</v>
      </c>
      <c r="B28" s="43">
        <v>4512</v>
      </c>
      <c r="C28" s="25" t="s">
        <v>63</v>
      </c>
      <c r="D28" s="40">
        <v>1975</v>
      </c>
      <c r="E28" s="42" t="s">
        <v>49</v>
      </c>
      <c r="F28" s="40" t="s">
        <v>42</v>
      </c>
      <c r="G28" s="23">
        <v>5560.3</v>
      </c>
      <c r="H28" s="44">
        <v>4388.28</v>
      </c>
      <c r="I28" s="26">
        <v>149</v>
      </c>
      <c r="J28" s="12">
        <v>35435361</v>
      </c>
      <c r="K28" s="12">
        <v>0</v>
      </c>
      <c r="L28" s="12">
        <v>0</v>
      </c>
      <c r="M28" s="12">
        <v>0</v>
      </c>
      <c r="N28" s="12">
        <v>35435361</v>
      </c>
      <c r="O28" s="12">
        <v>0</v>
      </c>
      <c r="P28" s="12">
        <v>8075</v>
      </c>
      <c r="Q28" s="12">
        <v>8075</v>
      </c>
      <c r="R28" s="16">
        <v>2028</v>
      </c>
      <c r="S28" s="29">
        <v>1</v>
      </c>
    </row>
  </sheetData>
  <autoFilter ref="A8:S28"/>
  <customSheetViews>
    <customSheetView guid="{3511D8A4-2A8D-4563-8DF1-C381EEDBF68F}" scale="80" showPageBreaks="1" fitToPage="1" printArea="1" filter="1" showAutoFilter="1" view="pageBreakPreview">
      <selection activeCell="B4" sqref="A4:M65"/>
      <pageMargins left="0.19685039370078741" right="0.19685039370078741" top="0.78740157480314965" bottom="0.39370078740157483" header="0.31496062992125984" footer="0.31496062992125984"/>
      <printOptions horizontalCentered="1"/>
      <pageSetup paperSize="9" scale="47" fitToHeight="0" orientation="landscape" r:id="rId1"/>
      <autoFilter ref="B1:Y1">
        <filterColumn colId="7">
          <filters>
            <filter val="Х"/>
          </filters>
        </filterColumn>
      </autoFilter>
    </customSheetView>
    <customSheetView guid="{CC3EEC02-30D2-4905-AE21-71EA71520321}" scale="80" showPageBreaks="1" fitToPage="1" filter="1" showAutoFilter="1" view="pageBreakPreview" topLeftCell="A97">
      <selection activeCell="U113" sqref="U113"/>
      <pageMargins left="0.19685039370078741" right="0.19685039370078741" top="0.78740157480314965" bottom="0.39370078740157483" header="0.31496062992125984" footer="0.31496062992125984"/>
      <printOptions horizontalCentered="1"/>
      <pageSetup paperSize="9" scale="44" fitToHeight="0" orientation="landscape" r:id="rId2"/>
      <autoFilter ref="B1:Y1">
        <filterColumn colId="7">
          <filters>
            <filter val="Х"/>
          </filters>
        </filterColumn>
      </autoFilter>
    </customSheetView>
    <customSheetView guid="{114D0552-1D3C-4C9A-AF28-55BD1176DD7C}" scale="80" showPageBreaks="1" fitToPage="1" printArea="1" showAutoFilter="1" view="pageBreakPreview" topLeftCell="A28">
      <selection activeCell="A52" sqref="A52:IV52"/>
      <pageMargins left="0.19685039370078741" right="0.19685039370078741" top="0.78740157480314965" bottom="0.39370078740157483" header="0.31496062992125984" footer="0.31496062992125984"/>
      <printOptions horizontalCentered="1"/>
      <pageSetup paperSize="9" scale="46" fitToHeight="0" orientation="landscape" r:id="rId3"/>
      <autoFilter ref="B1:Z1"/>
    </customSheetView>
  </customSheetViews>
  <mergeCells count="23">
    <mergeCell ref="A26:C26"/>
    <mergeCell ref="S4:S7"/>
    <mergeCell ref="J4:O4"/>
    <mergeCell ref="K5:O5"/>
    <mergeCell ref="Q4:Q6"/>
    <mergeCell ref="P4:P6"/>
    <mergeCell ref="J5:J6"/>
    <mergeCell ref="A9:C9"/>
    <mergeCell ref="A4:A7"/>
    <mergeCell ref="F4:F7"/>
    <mergeCell ref="A21:C21"/>
    <mergeCell ref="A10:C10"/>
    <mergeCell ref="D4:D7"/>
    <mergeCell ref="E4:E7"/>
    <mergeCell ref="G4:G6"/>
    <mergeCell ref="C4:C7"/>
    <mergeCell ref="H4:H6"/>
    <mergeCell ref="N1:R1"/>
    <mergeCell ref="R4:R7"/>
    <mergeCell ref="A2:R2"/>
    <mergeCell ref="A3:R3"/>
    <mergeCell ref="I4:I6"/>
    <mergeCell ref="B4:B7"/>
  </mergeCells>
  <printOptions horizontalCentered="1"/>
  <pageMargins left="0" right="0" top="0" bottom="0" header="0.31496062992125984" footer="0.31496062992125984"/>
  <pageSetup paperSize="9" scale="55" fitToHeight="1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view="pageBreakPreview" zoomScale="75" zoomScaleNormal="83" zoomScaleSheetLayoutView="75" workbookViewId="0">
      <pane xSplit="3" ySplit="5" topLeftCell="D6" activePane="bottomRight" state="frozen"/>
      <selection pane="topRight" activeCell="D1" sqref="D1"/>
      <selection pane="bottomLeft" activeCell="A6" sqref="A6"/>
      <selection pane="bottomRight" sqref="A1:K1"/>
    </sheetView>
  </sheetViews>
  <sheetFormatPr defaultColWidth="9.140625" defaultRowHeight="15.75"/>
  <cols>
    <col min="1" max="2" width="9.140625" style="1" customWidth="1"/>
    <col min="3" max="3" width="40.140625" style="1" customWidth="1"/>
    <col min="4" max="4" width="14.7109375" style="1" customWidth="1"/>
    <col min="5" max="5" width="11.140625" style="1" customWidth="1"/>
    <col min="6" max="6" width="15.85546875" style="1" customWidth="1"/>
    <col min="7" max="7" width="39.7109375" style="1" customWidth="1"/>
    <col min="8" max="8" width="48" style="1" customWidth="1"/>
    <col min="9" max="9" width="18.85546875" style="10" customWidth="1"/>
    <col min="10" max="11" width="16.140625" style="10" customWidth="1"/>
    <col min="12" max="13" width="9.140625" style="2"/>
    <col min="14" max="16384" width="9.140625" style="1"/>
  </cols>
  <sheetData>
    <row r="1" spans="1:11" ht="30.75" customHeight="1">
      <c r="A1" s="103" t="s">
        <v>84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49.5" customHeight="1">
      <c r="A2" s="80" t="s">
        <v>57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1" ht="78.75" customHeight="1">
      <c r="A3" s="33" t="s">
        <v>24</v>
      </c>
      <c r="B3" s="33" t="s">
        <v>34</v>
      </c>
      <c r="C3" s="42" t="s">
        <v>1</v>
      </c>
      <c r="D3" s="42" t="s">
        <v>18</v>
      </c>
      <c r="E3" s="4" t="s">
        <v>35</v>
      </c>
      <c r="F3" s="4" t="s">
        <v>2</v>
      </c>
      <c r="G3" s="42" t="s">
        <v>19</v>
      </c>
      <c r="H3" s="42" t="s">
        <v>20</v>
      </c>
      <c r="I3" s="5" t="s">
        <v>21</v>
      </c>
      <c r="J3" s="5" t="s">
        <v>22</v>
      </c>
      <c r="K3" s="5" t="s">
        <v>23</v>
      </c>
    </row>
    <row r="4" spans="1:11">
      <c r="A4" s="33">
        <v>1</v>
      </c>
      <c r="B4" s="33">
        <f>A4+1</f>
        <v>2</v>
      </c>
      <c r="C4" s="33">
        <f>B4+1</f>
        <v>3</v>
      </c>
      <c r="D4" s="33">
        <f>C4+1</f>
        <v>4</v>
      </c>
      <c r="E4" s="33">
        <v>5</v>
      </c>
      <c r="F4" s="33">
        <v>6</v>
      </c>
      <c r="G4" s="33">
        <f>F4+1</f>
        <v>7</v>
      </c>
      <c r="H4" s="33">
        <f>G4+1</f>
        <v>8</v>
      </c>
      <c r="I4" s="33">
        <f>H4+1</f>
        <v>9</v>
      </c>
      <c r="J4" s="33">
        <f>I4+1</f>
        <v>10</v>
      </c>
      <c r="K4" s="33">
        <f>J4+1</f>
        <v>11</v>
      </c>
    </row>
    <row r="5" spans="1:11" ht="15.75" customHeight="1">
      <c r="A5" s="65" t="s">
        <v>16</v>
      </c>
      <c r="B5" s="66"/>
      <c r="C5" s="67"/>
      <c r="D5" s="6">
        <f>D6+D57</f>
        <v>14785.21</v>
      </c>
      <c r="E5" s="6"/>
      <c r="F5" s="6"/>
      <c r="G5" s="33"/>
      <c r="H5" s="33"/>
      <c r="I5" s="7">
        <f>I6+I57</f>
        <v>70841708.620000005</v>
      </c>
      <c r="J5" s="7"/>
      <c r="K5" s="7"/>
    </row>
    <row r="6" spans="1:11" ht="15.75" customHeight="1">
      <c r="A6" s="65" t="s">
        <v>58</v>
      </c>
      <c r="B6" s="66"/>
      <c r="C6" s="67"/>
      <c r="D6" s="7">
        <f>D7+D12+D19+D26+D28+D30+D35+D42+D49+D54</f>
        <v>7528.71</v>
      </c>
      <c r="E6" s="7"/>
      <c r="F6" s="7"/>
      <c r="G6" s="33"/>
      <c r="H6" s="8"/>
      <c r="I6" s="7">
        <f>I7+I12+I19+I28+I26+I30+I35+I42+I49+I54</f>
        <v>32638781</v>
      </c>
      <c r="J6" s="7"/>
      <c r="K6" s="7"/>
    </row>
    <row r="7" spans="1:11" ht="15.75" customHeight="1">
      <c r="A7" s="82">
        <v>1</v>
      </c>
      <c r="B7" s="91">
        <v>4504</v>
      </c>
      <c r="C7" s="91" t="s">
        <v>64</v>
      </c>
      <c r="D7" s="85">
        <v>996.06</v>
      </c>
      <c r="E7" s="82" t="s">
        <v>31</v>
      </c>
      <c r="F7" s="82">
        <v>2</v>
      </c>
      <c r="G7" s="22"/>
      <c r="H7" s="8" t="s">
        <v>29</v>
      </c>
      <c r="I7" s="7">
        <f>SUM(I8:I11)</f>
        <v>3811747.21</v>
      </c>
      <c r="J7" s="7">
        <f>SUM(J8:J11)</f>
        <v>3826.82</v>
      </c>
      <c r="K7" s="7">
        <f t="shared" ref="K7" si="0">SUM(K8:K11)</f>
        <v>11479</v>
      </c>
    </row>
    <row r="8" spans="1:11" ht="15.75" customHeight="1">
      <c r="A8" s="83"/>
      <c r="B8" s="92"/>
      <c r="C8" s="92"/>
      <c r="D8" s="86"/>
      <c r="E8" s="83"/>
      <c r="F8" s="83"/>
      <c r="G8" s="88" t="s">
        <v>33</v>
      </c>
      <c r="H8" s="8" t="s">
        <v>17</v>
      </c>
      <c r="I8" s="7">
        <f>4753132.54-1425939.76</f>
        <v>3327192.78</v>
      </c>
      <c r="J8" s="7">
        <f>I8/$D$7</f>
        <v>3340.35</v>
      </c>
      <c r="K8" s="53">
        <v>10479</v>
      </c>
    </row>
    <row r="9" spans="1:11" ht="15.75" customHeight="1">
      <c r="A9" s="83"/>
      <c r="B9" s="92"/>
      <c r="C9" s="92"/>
      <c r="D9" s="86"/>
      <c r="E9" s="83"/>
      <c r="F9" s="83"/>
      <c r="G9" s="89"/>
      <c r="H9" s="8" t="s">
        <v>28</v>
      </c>
      <c r="I9" s="7">
        <v>110009.85</v>
      </c>
      <c r="J9" s="7">
        <f>I9/$D$7</f>
        <v>110.45</v>
      </c>
      <c r="K9" s="53">
        <v>224</v>
      </c>
    </row>
    <row r="10" spans="1:11" ht="15.75" customHeight="1">
      <c r="A10" s="83"/>
      <c r="B10" s="92"/>
      <c r="C10" s="92"/>
      <c r="D10" s="86"/>
      <c r="E10" s="83"/>
      <c r="F10" s="83"/>
      <c r="G10" s="90" t="s">
        <v>43</v>
      </c>
      <c r="H10" s="8" t="s">
        <v>17</v>
      </c>
      <c r="I10" s="7">
        <f>513826.27-154147.88</f>
        <v>359678.39</v>
      </c>
      <c r="J10" s="7">
        <f>I10/$D$7</f>
        <v>361.1</v>
      </c>
      <c r="K10" s="53">
        <f>760</f>
        <v>760</v>
      </c>
    </row>
    <row r="11" spans="1:11" ht="15.75" customHeight="1">
      <c r="A11" s="84"/>
      <c r="B11" s="93"/>
      <c r="C11" s="93"/>
      <c r="D11" s="87"/>
      <c r="E11" s="83"/>
      <c r="F11" s="83"/>
      <c r="G11" s="89"/>
      <c r="H11" s="8" t="s">
        <v>28</v>
      </c>
      <c r="I11" s="7">
        <v>14866.19</v>
      </c>
      <c r="J11" s="7">
        <f t="shared" ref="J11" si="1">I11/$D$7</f>
        <v>14.92</v>
      </c>
      <c r="K11" s="53">
        <v>16</v>
      </c>
    </row>
    <row r="12" spans="1:11">
      <c r="A12" s="82">
        <f>A7+1</f>
        <v>2</v>
      </c>
      <c r="B12" s="82">
        <v>4507</v>
      </c>
      <c r="C12" s="82" t="s">
        <v>65</v>
      </c>
      <c r="D12" s="85">
        <v>862.24</v>
      </c>
      <c r="E12" s="82" t="s">
        <v>31</v>
      </c>
      <c r="F12" s="82">
        <v>2</v>
      </c>
      <c r="G12" s="33"/>
      <c r="H12" s="8" t="s">
        <v>29</v>
      </c>
      <c r="I12" s="7">
        <f>SUM(I13:I18)</f>
        <v>4079347.88</v>
      </c>
      <c r="J12" s="7">
        <f>SUM(J13:J18)</f>
        <v>4731.1000000000004</v>
      </c>
      <c r="K12" s="7">
        <f>SUM(K13:K18)</f>
        <v>13824</v>
      </c>
    </row>
    <row r="13" spans="1:11" ht="17.100000000000001" customHeight="1">
      <c r="A13" s="83"/>
      <c r="B13" s="83">
        <v>4507</v>
      </c>
      <c r="C13" s="83" t="s">
        <v>65</v>
      </c>
      <c r="D13" s="86"/>
      <c r="E13" s="83"/>
      <c r="F13" s="83"/>
      <c r="G13" s="88" t="s">
        <v>33</v>
      </c>
      <c r="H13" s="8" t="s">
        <v>17</v>
      </c>
      <c r="I13" s="7">
        <f>3959392.11-1187817.64</f>
        <v>2771574.47</v>
      </c>
      <c r="J13" s="7">
        <f>I13/$D$12</f>
        <v>3214.39</v>
      </c>
      <c r="K13" s="53">
        <v>10479</v>
      </c>
    </row>
    <row r="14" spans="1:11">
      <c r="A14" s="83"/>
      <c r="B14" s="83">
        <v>4507</v>
      </c>
      <c r="C14" s="83" t="s">
        <v>65</v>
      </c>
      <c r="D14" s="86"/>
      <c r="E14" s="83"/>
      <c r="F14" s="83"/>
      <c r="G14" s="89"/>
      <c r="H14" s="8" t="s">
        <v>28</v>
      </c>
      <c r="I14" s="7">
        <v>95230.1</v>
      </c>
      <c r="J14" s="7">
        <f t="shared" ref="J14:J18" si="2">I14/$D$12</f>
        <v>110.45</v>
      </c>
      <c r="K14" s="53">
        <v>224</v>
      </c>
    </row>
    <row r="15" spans="1:11">
      <c r="A15" s="83"/>
      <c r="B15" s="83">
        <v>4507</v>
      </c>
      <c r="C15" s="83" t="s">
        <v>65</v>
      </c>
      <c r="D15" s="86"/>
      <c r="E15" s="83"/>
      <c r="F15" s="83"/>
      <c r="G15" s="90" t="s">
        <v>43</v>
      </c>
      <c r="H15" s="8" t="s">
        <v>17</v>
      </c>
      <c r="I15" s="7">
        <f>621874.17-186562.25</f>
        <v>435311.92</v>
      </c>
      <c r="J15" s="7">
        <f t="shared" si="2"/>
        <v>504.86</v>
      </c>
      <c r="K15" s="53">
        <v>760</v>
      </c>
    </row>
    <row r="16" spans="1:11">
      <c r="A16" s="83"/>
      <c r="B16" s="83">
        <v>4507</v>
      </c>
      <c r="C16" s="83" t="s">
        <v>65</v>
      </c>
      <c r="D16" s="86"/>
      <c r="E16" s="83"/>
      <c r="F16" s="83"/>
      <c r="G16" s="89"/>
      <c r="H16" s="8" t="s">
        <v>28</v>
      </c>
      <c r="I16" s="7">
        <v>12868.93</v>
      </c>
      <c r="J16" s="7">
        <f t="shared" si="2"/>
        <v>14.92</v>
      </c>
      <c r="K16" s="53">
        <v>16</v>
      </c>
    </row>
    <row r="17" spans="1:11">
      <c r="A17" s="83"/>
      <c r="B17" s="83">
        <v>4507</v>
      </c>
      <c r="C17" s="83" t="s">
        <v>65</v>
      </c>
      <c r="D17" s="86"/>
      <c r="E17" s="83"/>
      <c r="F17" s="83"/>
      <c r="G17" s="88" t="s">
        <v>44</v>
      </c>
      <c r="H17" s="8" t="s">
        <v>17</v>
      </c>
      <c r="I17" s="7">
        <f>1040470.63-312141.18</f>
        <v>728329.45</v>
      </c>
      <c r="J17" s="7">
        <f t="shared" si="2"/>
        <v>844.69</v>
      </c>
      <c r="K17" s="53">
        <v>2296</v>
      </c>
    </row>
    <row r="18" spans="1:11" ht="17.100000000000001" customHeight="1">
      <c r="A18" s="84"/>
      <c r="B18" s="84">
        <v>4507</v>
      </c>
      <c r="C18" s="84" t="s">
        <v>65</v>
      </c>
      <c r="D18" s="87"/>
      <c r="E18" s="84"/>
      <c r="F18" s="84"/>
      <c r="G18" s="89"/>
      <c r="H18" s="8" t="s">
        <v>28</v>
      </c>
      <c r="I18" s="7">
        <v>36033.01</v>
      </c>
      <c r="J18" s="7">
        <f t="shared" si="2"/>
        <v>41.79</v>
      </c>
      <c r="K18" s="53">
        <v>49</v>
      </c>
    </row>
    <row r="19" spans="1:11" ht="15.75" customHeight="1">
      <c r="A19" s="82">
        <f>A12+1</f>
        <v>3</v>
      </c>
      <c r="B19" s="82">
        <v>4407</v>
      </c>
      <c r="C19" s="96" t="s">
        <v>53</v>
      </c>
      <c r="D19" s="98">
        <v>1089.2</v>
      </c>
      <c r="E19" s="82" t="s">
        <v>31</v>
      </c>
      <c r="F19" s="82">
        <v>3</v>
      </c>
      <c r="G19" s="33"/>
      <c r="H19" s="8" t="s">
        <v>29</v>
      </c>
      <c r="I19" s="7">
        <f>SUM(I20:I25)</f>
        <v>12516111.539999999</v>
      </c>
      <c r="J19" s="7">
        <f>SUM(J20:J25)</f>
        <v>11491.1</v>
      </c>
      <c r="K19" s="7">
        <f>SUM(K20:K25)</f>
        <v>11514</v>
      </c>
    </row>
    <row r="20" spans="1:11" ht="15.75" customHeight="1">
      <c r="A20" s="83"/>
      <c r="B20" s="83"/>
      <c r="C20" s="97"/>
      <c r="D20" s="99"/>
      <c r="E20" s="83"/>
      <c r="F20" s="83"/>
      <c r="G20" s="88" t="s">
        <v>33</v>
      </c>
      <c r="H20" s="8" t="s">
        <v>17</v>
      </c>
      <c r="I20" s="7">
        <f t="shared" ref="I20:I24" si="3">$D$19*K20</f>
        <v>8949956.4000000004</v>
      </c>
      <c r="J20" s="7">
        <f t="shared" ref="J20:J25" si="4">I20/$D$19</f>
        <v>8217</v>
      </c>
      <c r="K20" s="53">
        <v>8217</v>
      </c>
    </row>
    <row r="21" spans="1:11" ht="15.75" customHeight="1">
      <c r="A21" s="83"/>
      <c r="B21" s="83"/>
      <c r="C21" s="97"/>
      <c r="D21" s="99"/>
      <c r="E21" s="83"/>
      <c r="F21" s="83"/>
      <c r="G21" s="89"/>
      <c r="H21" s="8" t="s">
        <v>28</v>
      </c>
      <c r="I21" s="7">
        <v>173487.76</v>
      </c>
      <c r="J21" s="7">
        <f t="shared" si="4"/>
        <v>159.28</v>
      </c>
      <c r="K21" s="53">
        <v>176</v>
      </c>
    </row>
    <row r="22" spans="1:11" ht="15.75" customHeight="1">
      <c r="A22" s="83"/>
      <c r="B22" s="83"/>
      <c r="C22" s="97"/>
      <c r="D22" s="99"/>
      <c r="E22" s="83"/>
      <c r="F22" s="83"/>
      <c r="G22" s="90" t="s">
        <v>43</v>
      </c>
      <c r="H22" s="8" t="s">
        <v>17</v>
      </c>
      <c r="I22" s="7">
        <f t="shared" si="3"/>
        <v>827792</v>
      </c>
      <c r="J22" s="7">
        <f t="shared" si="4"/>
        <v>760</v>
      </c>
      <c r="K22" s="53">
        <v>760</v>
      </c>
    </row>
    <row r="23" spans="1:11" ht="15.75" customHeight="1">
      <c r="A23" s="83"/>
      <c r="B23" s="83"/>
      <c r="C23" s="97"/>
      <c r="D23" s="99"/>
      <c r="E23" s="83"/>
      <c r="F23" s="83"/>
      <c r="G23" s="89"/>
      <c r="H23" s="8" t="s">
        <v>28</v>
      </c>
      <c r="I23" s="7">
        <v>15771.61</v>
      </c>
      <c r="J23" s="7">
        <f t="shared" si="4"/>
        <v>14.48</v>
      </c>
      <c r="K23" s="53">
        <v>16</v>
      </c>
    </row>
    <row r="24" spans="1:11" ht="15.75" customHeight="1">
      <c r="A24" s="83"/>
      <c r="B24" s="83"/>
      <c r="C24" s="97"/>
      <c r="D24" s="99"/>
      <c r="E24" s="83"/>
      <c r="F24" s="83"/>
      <c r="G24" s="90" t="s">
        <v>44</v>
      </c>
      <c r="H24" s="8" t="s">
        <v>17</v>
      </c>
      <c r="I24" s="7">
        <f t="shared" si="3"/>
        <v>2500803.2000000002</v>
      </c>
      <c r="J24" s="7">
        <f t="shared" si="4"/>
        <v>2296</v>
      </c>
      <c r="K24" s="53">
        <v>2296</v>
      </c>
    </row>
    <row r="25" spans="1:11" ht="15.75" customHeight="1">
      <c r="A25" s="83"/>
      <c r="B25" s="83"/>
      <c r="C25" s="97"/>
      <c r="D25" s="99"/>
      <c r="E25" s="83"/>
      <c r="F25" s="83"/>
      <c r="G25" s="89"/>
      <c r="H25" s="8" t="s">
        <v>28</v>
      </c>
      <c r="I25" s="7">
        <v>48300.57</v>
      </c>
      <c r="J25" s="7">
        <f t="shared" si="4"/>
        <v>44.34</v>
      </c>
      <c r="K25" s="53">
        <v>49</v>
      </c>
    </row>
    <row r="26" spans="1:11" ht="15.75" customHeight="1">
      <c r="A26" s="82">
        <f>A19+1</f>
        <v>4</v>
      </c>
      <c r="B26" s="82">
        <v>8469</v>
      </c>
      <c r="C26" s="96" t="s">
        <v>62</v>
      </c>
      <c r="D26" s="98">
        <v>220.6</v>
      </c>
      <c r="E26" s="82" t="s">
        <v>30</v>
      </c>
      <c r="F26" s="82">
        <v>1</v>
      </c>
      <c r="G26" s="33"/>
      <c r="H26" s="8" t="s">
        <v>29</v>
      </c>
      <c r="I26" s="7">
        <f>SUM(I27)</f>
        <v>116035.6</v>
      </c>
      <c r="J26" s="7">
        <f t="shared" ref="J26:K28" si="5">SUM(J27)</f>
        <v>526</v>
      </c>
      <c r="K26" s="7">
        <f t="shared" si="5"/>
        <v>526</v>
      </c>
    </row>
    <row r="27" spans="1:11" ht="47.25">
      <c r="A27" s="84"/>
      <c r="B27" s="84"/>
      <c r="C27" s="104"/>
      <c r="D27" s="100"/>
      <c r="E27" s="84"/>
      <c r="F27" s="84"/>
      <c r="G27" s="37" t="s">
        <v>27</v>
      </c>
      <c r="H27" s="9" t="s">
        <v>51</v>
      </c>
      <c r="I27" s="7">
        <f>D26*K27</f>
        <v>116035.6</v>
      </c>
      <c r="J27" s="7">
        <f>I27/D26</f>
        <v>526</v>
      </c>
      <c r="K27" s="53">
        <f>376+150</f>
        <v>526</v>
      </c>
    </row>
    <row r="28" spans="1:11" ht="15.75" customHeight="1">
      <c r="A28" s="82">
        <f>A26+1</f>
        <v>5</v>
      </c>
      <c r="B28" s="82">
        <v>4525</v>
      </c>
      <c r="C28" s="96" t="s">
        <v>71</v>
      </c>
      <c r="D28" s="98">
        <v>1787.52</v>
      </c>
      <c r="E28" s="82" t="s">
        <v>31</v>
      </c>
      <c r="F28" s="82">
        <v>3</v>
      </c>
      <c r="G28" s="33"/>
      <c r="H28" s="8" t="s">
        <v>29</v>
      </c>
      <c r="I28" s="7">
        <f>SUM(I29)</f>
        <v>868734.72</v>
      </c>
      <c r="J28" s="7">
        <f t="shared" si="5"/>
        <v>486</v>
      </c>
      <c r="K28" s="7">
        <f t="shared" si="5"/>
        <v>486</v>
      </c>
    </row>
    <row r="29" spans="1:11" ht="47.25">
      <c r="A29" s="84"/>
      <c r="B29" s="84"/>
      <c r="C29" s="104"/>
      <c r="D29" s="100"/>
      <c r="E29" s="84"/>
      <c r="F29" s="84"/>
      <c r="G29" s="37" t="s">
        <v>27</v>
      </c>
      <c r="H29" s="9" t="s">
        <v>51</v>
      </c>
      <c r="I29" s="7">
        <f>D28*K29</f>
        <v>868734.72</v>
      </c>
      <c r="J29" s="7">
        <f>I29/D28</f>
        <v>486</v>
      </c>
      <c r="K29" s="53">
        <f>376+110</f>
        <v>486</v>
      </c>
    </row>
    <row r="30" spans="1:11" ht="15.75" customHeight="1">
      <c r="A30" s="82">
        <f>A28+1</f>
        <v>6</v>
      </c>
      <c r="B30" s="94">
        <v>4550</v>
      </c>
      <c r="C30" s="94" t="s">
        <v>66</v>
      </c>
      <c r="D30" s="85">
        <v>1003.2</v>
      </c>
      <c r="E30" s="82" t="s">
        <v>31</v>
      </c>
      <c r="F30" s="82">
        <v>2</v>
      </c>
      <c r="G30" s="22"/>
      <c r="H30" s="8" t="s">
        <v>29</v>
      </c>
      <c r="I30" s="7">
        <f>SUM(I31:I34)</f>
        <v>3795691.15</v>
      </c>
      <c r="J30" s="7">
        <f>SUM(J31:J34)</f>
        <v>3783.58</v>
      </c>
      <c r="K30" s="7">
        <f t="shared" ref="K30" si="6">SUM(K31:K34)</f>
        <v>9169</v>
      </c>
    </row>
    <row r="31" spans="1:11" ht="15.75" customHeight="1">
      <c r="A31" s="83"/>
      <c r="B31" s="94">
        <v>4550</v>
      </c>
      <c r="C31" s="94" t="s">
        <v>66</v>
      </c>
      <c r="D31" s="86"/>
      <c r="E31" s="83"/>
      <c r="F31" s="83"/>
      <c r="G31" s="88" t="s">
        <v>33</v>
      </c>
      <c r="H31" s="8" t="s">
        <v>17</v>
      </c>
      <c r="I31" s="7">
        <f>4755117.15-1426535.16</f>
        <v>3328581.99</v>
      </c>
      <c r="J31" s="7">
        <f>I31/$D$30-0.01</f>
        <v>3317.95</v>
      </c>
      <c r="K31" s="53">
        <v>8217</v>
      </c>
    </row>
    <row r="32" spans="1:11" ht="15.75" customHeight="1">
      <c r="A32" s="83"/>
      <c r="B32" s="94">
        <v>4550</v>
      </c>
      <c r="C32" s="94" t="s">
        <v>66</v>
      </c>
      <c r="D32" s="86"/>
      <c r="E32" s="83"/>
      <c r="F32" s="83"/>
      <c r="G32" s="89"/>
      <c r="H32" s="8" t="s">
        <v>28</v>
      </c>
      <c r="I32" s="7">
        <v>96823.85</v>
      </c>
      <c r="J32" s="7">
        <f t="shared" ref="J32:J34" si="7">I32/$D$30</f>
        <v>96.52</v>
      </c>
      <c r="K32" s="53">
        <v>176</v>
      </c>
    </row>
    <row r="33" spans="1:11" ht="15.75" customHeight="1">
      <c r="A33" s="83"/>
      <c r="B33" s="94">
        <v>4550</v>
      </c>
      <c r="C33" s="94" t="s">
        <v>66</v>
      </c>
      <c r="D33" s="86"/>
      <c r="E33" s="83"/>
      <c r="F33" s="83"/>
      <c r="G33" s="90" t="s">
        <v>43</v>
      </c>
      <c r="H33" s="8" t="s">
        <v>17</v>
      </c>
      <c r="I33" s="7">
        <f>507589.35-152276.8</f>
        <v>355312.55</v>
      </c>
      <c r="J33" s="7">
        <f t="shared" si="7"/>
        <v>354.18</v>
      </c>
      <c r="K33" s="53">
        <v>760</v>
      </c>
    </row>
    <row r="34" spans="1:11" ht="15.75" customHeight="1">
      <c r="A34" s="84"/>
      <c r="B34" s="94">
        <v>4550</v>
      </c>
      <c r="C34" s="94" t="s">
        <v>66</v>
      </c>
      <c r="D34" s="87"/>
      <c r="E34" s="83"/>
      <c r="F34" s="83"/>
      <c r="G34" s="89"/>
      <c r="H34" s="8" t="s">
        <v>28</v>
      </c>
      <c r="I34" s="7">
        <v>14972.76</v>
      </c>
      <c r="J34" s="7">
        <f t="shared" si="7"/>
        <v>14.93</v>
      </c>
      <c r="K34" s="53">
        <v>16</v>
      </c>
    </row>
    <row r="35" spans="1:11">
      <c r="A35" s="82">
        <f>A30+1</f>
        <v>7</v>
      </c>
      <c r="B35" s="82">
        <v>4400</v>
      </c>
      <c r="C35" s="82" t="s">
        <v>68</v>
      </c>
      <c r="D35" s="85">
        <v>390.28</v>
      </c>
      <c r="E35" s="82" t="s">
        <v>31</v>
      </c>
      <c r="F35" s="82">
        <v>2</v>
      </c>
      <c r="G35" s="33"/>
      <c r="H35" s="8" t="s">
        <v>29</v>
      </c>
      <c r="I35" s="7">
        <f>SUM(I36:I41)</f>
        <v>2231343.19</v>
      </c>
      <c r="J35" s="7">
        <f>SUM(J36:J41)</f>
        <v>5717.29</v>
      </c>
      <c r="K35" s="7">
        <f>SUM(K36:K41)</f>
        <v>13824</v>
      </c>
    </row>
    <row r="36" spans="1:11" ht="17.100000000000001" customHeight="1">
      <c r="A36" s="83"/>
      <c r="B36" s="83">
        <v>4400</v>
      </c>
      <c r="C36" s="83" t="s">
        <v>68</v>
      </c>
      <c r="D36" s="86"/>
      <c r="E36" s="83"/>
      <c r="F36" s="83"/>
      <c r="G36" s="88" t="s">
        <v>33</v>
      </c>
      <c r="H36" s="8" t="s">
        <v>17</v>
      </c>
      <c r="I36" s="7">
        <f>2424167.78-727250.32</f>
        <v>1696917.46</v>
      </c>
      <c r="J36" s="7">
        <f>I36/$D$35</f>
        <v>4347.95</v>
      </c>
      <c r="K36" s="53">
        <v>10479</v>
      </c>
    </row>
    <row r="37" spans="1:11">
      <c r="A37" s="83"/>
      <c r="B37" s="83">
        <v>4400</v>
      </c>
      <c r="C37" s="83" t="s">
        <v>68</v>
      </c>
      <c r="D37" s="86"/>
      <c r="E37" s="83"/>
      <c r="F37" s="83"/>
      <c r="G37" s="89"/>
      <c r="H37" s="8" t="s">
        <v>28</v>
      </c>
      <c r="I37" s="7">
        <v>43104.47</v>
      </c>
      <c r="J37" s="7">
        <f t="shared" ref="J37:J41" si="8">I37/$D$35</f>
        <v>110.44</v>
      </c>
      <c r="K37" s="53">
        <v>224</v>
      </c>
    </row>
    <row r="38" spans="1:11">
      <c r="A38" s="83"/>
      <c r="B38" s="83">
        <v>4400</v>
      </c>
      <c r="C38" s="83" t="s">
        <v>68</v>
      </c>
      <c r="D38" s="86"/>
      <c r="E38" s="83"/>
      <c r="F38" s="83"/>
      <c r="G38" s="90" t="s">
        <v>43</v>
      </c>
      <c r="H38" s="8" t="s">
        <v>17</v>
      </c>
      <c r="I38" s="7">
        <f>196504.94-58951.48</f>
        <v>137553.46</v>
      </c>
      <c r="J38" s="7">
        <f t="shared" si="8"/>
        <v>352.45</v>
      </c>
      <c r="K38" s="53">
        <v>760</v>
      </c>
    </row>
    <row r="39" spans="1:11">
      <c r="A39" s="83"/>
      <c r="B39" s="83">
        <v>4400</v>
      </c>
      <c r="C39" s="83" t="s">
        <v>68</v>
      </c>
      <c r="D39" s="86"/>
      <c r="E39" s="83"/>
      <c r="F39" s="83"/>
      <c r="G39" s="89"/>
      <c r="H39" s="8" t="s">
        <v>28</v>
      </c>
      <c r="I39" s="7">
        <v>5824.93</v>
      </c>
      <c r="J39" s="7">
        <f t="shared" si="8"/>
        <v>14.93</v>
      </c>
      <c r="K39" s="53">
        <v>16</v>
      </c>
    </row>
    <row r="40" spans="1:11">
      <c r="A40" s="83"/>
      <c r="B40" s="83">
        <v>4400</v>
      </c>
      <c r="C40" s="83" t="s">
        <v>68</v>
      </c>
      <c r="D40" s="86"/>
      <c r="E40" s="83"/>
      <c r="F40" s="83"/>
      <c r="G40" s="88" t="s">
        <v>44</v>
      </c>
      <c r="H40" s="8" t="s">
        <v>17</v>
      </c>
      <c r="I40" s="7">
        <f>473761.54-142128.47</f>
        <v>331633.07</v>
      </c>
      <c r="J40" s="7">
        <f t="shared" si="8"/>
        <v>849.73</v>
      </c>
      <c r="K40" s="53">
        <v>2296</v>
      </c>
    </row>
    <row r="41" spans="1:11" ht="17.100000000000001" customHeight="1">
      <c r="A41" s="84"/>
      <c r="B41" s="84">
        <v>4400</v>
      </c>
      <c r="C41" s="84" t="s">
        <v>68</v>
      </c>
      <c r="D41" s="87"/>
      <c r="E41" s="84"/>
      <c r="F41" s="84"/>
      <c r="G41" s="89"/>
      <c r="H41" s="8" t="s">
        <v>28</v>
      </c>
      <c r="I41" s="7">
        <v>16309.8</v>
      </c>
      <c r="J41" s="7">
        <f t="shared" si="8"/>
        <v>41.79</v>
      </c>
      <c r="K41" s="53">
        <v>49</v>
      </c>
    </row>
    <row r="42" spans="1:11" ht="15.75" customHeight="1">
      <c r="A42" s="82">
        <f>A35+1</f>
        <v>8</v>
      </c>
      <c r="B42" s="82">
        <v>4417</v>
      </c>
      <c r="C42" s="82" t="s">
        <v>67</v>
      </c>
      <c r="D42" s="82">
        <v>495.73</v>
      </c>
      <c r="E42" s="82" t="s">
        <v>31</v>
      </c>
      <c r="F42" s="82">
        <v>2</v>
      </c>
      <c r="G42" s="22"/>
      <c r="H42" s="8" t="s">
        <v>29</v>
      </c>
      <c r="I42" s="7">
        <f>SUM(I43:I48)</f>
        <v>2163560.7200000002</v>
      </c>
      <c r="J42" s="7">
        <f t="shared" ref="J42:K42" si="9">SUM(J43:J48)</f>
        <v>4364.3900000000003</v>
      </c>
      <c r="K42" s="7">
        <f t="shared" si="9"/>
        <v>13824</v>
      </c>
    </row>
    <row r="43" spans="1:11" ht="15.75" customHeight="1">
      <c r="A43" s="83"/>
      <c r="B43" s="83"/>
      <c r="C43" s="83"/>
      <c r="D43" s="83"/>
      <c r="E43" s="83"/>
      <c r="F43" s="83"/>
      <c r="G43" s="88" t="s">
        <v>33</v>
      </c>
      <c r="H43" s="8" t="s">
        <v>17</v>
      </c>
      <c r="I43" s="7">
        <f>2251646.14-675493.84</f>
        <v>1576152.3</v>
      </c>
      <c r="J43" s="7">
        <f>I43/$D$42</f>
        <v>3179.46</v>
      </c>
      <c r="K43" s="53">
        <v>10479</v>
      </c>
    </row>
    <row r="44" spans="1:11" ht="15.75" customHeight="1">
      <c r="A44" s="83"/>
      <c r="B44" s="83"/>
      <c r="C44" s="83"/>
      <c r="D44" s="83"/>
      <c r="E44" s="83"/>
      <c r="F44" s="83"/>
      <c r="G44" s="89"/>
      <c r="H44" s="8" t="s">
        <v>28</v>
      </c>
      <c r="I44" s="7">
        <v>54750.9</v>
      </c>
      <c r="J44" s="7">
        <f>I44/$D$42</f>
        <v>110.45</v>
      </c>
      <c r="K44" s="53">
        <v>224</v>
      </c>
    </row>
    <row r="45" spans="1:11" ht="15.75" customHeight="1">
      <c r="A45" s="83"/>
      <c r="B45" s="83"/>
      <c r="C45" s="83"/>
      <c r="D45" s="83"/>
      <c r="E45" s="83"/>
      <c r="F45" s="83"/>
      <c r="G45" s="90" t="s">
        <v>43</v>
      </c>
      <c r="H45" s="8" t="s">
        <v>17</v>
      </c>
      <c r="I45" s="7">
        <f>266167.36-79850.21</f>
        <v>186317.15</v>
      </c>
      <c r="J45" s="7">
        <f>I45/$D$42</f>
        <v>375.84</v>
      </c>
      <c r="K45" s="53">
        <v>760</v>
      </c>
    </row>
    <row r="46" spans="1:11" ht="15.75" customHeight="1">
      <c r="A46" s="83"/>
      <c r="B46" s="83"/>
      <c r="C46" s="83"/>
      <c r="D46" s="83"/>
      <c r="E46" s="83"/>
      <c r="F46" s="83"/>
      <c r="G46" s="89"/>
      <c r="H46" s="8" t="s">
        <v>28</v>
      </c>
      <c r="I46" s="7">
        <v>7398.77</v>
      </c>
      <c r="J46" s="7">
        <f t="shared" ref="J46:J48" si="10">I46/$D$42</f>
        <v>14.92</v>
      </c>
      <c r="K46" s="53">
        <v>16</v>
      </c>
    </row>
    <row r="47" spans="1:11" ht="15.75" customHeight="1">
      <c r="A47" s="83"/>
      <c r="B47" s="83"/>
      <c r="C47" s="83"/>
      <c r="D47" s="83"/>
      <c r="E47" s="83"/>
      <c r="F47" s="83"/>
      <c r="G47" s="88" t="s">
        <v>44</v>
      </c>
      <c r="H47" s="8" t="s">
        <v>17</v>
      </c>
      <c r="I47" s="7">
        <f>454607.2-136382.16</f>
        <v>318225.03999999998</v>
      </c>
      <c r="J47" s="7">
        <f t="shared" si="10"/>
        <v>641.92999999999995</v>
      </c>
      <c r="K47" s="53">
        <v>2296</v>
      </c>
    </row>
    <row r="48" spans="1:11" ht="15.75" customHeight="1">
      <c r="A48" s="84"/>
      <c r="B48" s="84"/>
      <c r="C48" s="84"/>
      <c r="D48" s="84"/>
      <c r="E48" s="84"/>
      <c r="F48" s="84"/>
      <c r="G48" s="89"/>
      <c r="H48" s="8" t="s">
        <v>28</v>
      </c>
      <c r="I48" s="7">
        <v>20716.560000000001</v>
      </c>
      <c r="J48" s="7">
        <f t="shared" si="10"/>
        <v>41.79</v>
      </c>
      <c r="K48" s="53">
        <v>49</v>
      </c>
    </row>
    <row r="49" spans="1:13" ht="15.75" customHeight="1">
      <c r="A49" s="82">
        <f>A42+1</f>
        <v>9</v>
      </c>
      <c r="B49" s="94">
        <v>4530</v>
      </c>
      <c r="C49" s="94" t="s">
        <v>69</v>
      </c>
      <c r="D49" s="85">
        <v>300.3</v>
      </c>
      <c r="E49" s="94" t="s">
        <v>31</v>
      </c>
      <c r="F49" s="94">
        <v>2</v>
      </c>
      <c r="G49" s="22"/>
      <c r="H49" s="8" t="s">
        <v>29</v>
      </c>
      <c r="I49" s="7">
        <f>SUM(I50:I53)</f>
        <v>1669552.51</v>
      </c>
      <c r="J49" s="7">
        <f>SUM(J50:J53)</f>
        <v>5559.62</v>
      </c>
      <c r="K49" s="7">
        <f t="shared" ref="K49" si="11">SUM(K50:K53)</f>
        <v>11479</v>
      </c>
    </row>
    <row r="50" spans="1:13" ht="15.75" customHeight="1">
      <c r="A50" s="83"/>
      <c r="B50" s="94">
        <v>4530</v>
      </c>
      <c r="C50" s="94" t="s">
        <v>69</v>
      </c>
      <c r="D50" s="86"/>
      <c r="E50" s="94"/>
      <c r="F50" s="94"/>
      <c r="G50" s="88" t="s">
        <v>33</v>
      </c>
      <c r="H50" s="8" t="s">
        <v>17</v>
      </c>
      <c r="I50" s="7">
        <f>2139402.88-641820.87</f>
        <v>1497582.01</v>
      </c>
      <c r="J50" s="7">
        <f>I50/$D$49+0.01</f>
        <v>4986.96</v>
      </c>
      <c r="K50" s="53">
        <v>10479</v>
      </c>
    </row>
    <row r="51" spans="1:13" ht="15.75" customHeight="1">
      <c r="A51" s="83"/>
      <c r="B51" s="94">
        <v>4530</v>
      </c>
      <c r="C51" s="94" t="s">
        <v>69</v>
      </c>
      <c r="D51" s="86"/>
      <c r="E51" s="94"/>
      <c r="F51" s="94"/>
      <c r="G51" s="89"/>
      <c r="H51" s="8" t="s">
        <v>28</v>
      </c>
      <c r="I51" s="7">
        <v>33166.629999999997</v>
      </c>
      <c r="J51" s="7">
        <f t="shared" ref="J51:J53" si="12">I51/$D$49</f>
        <v>110.44</v>
      </c>
      <c r="K51" s="53">
        <v>224</v>
      </c>
    </row>
    <row r="52" spans="1:13" ht="15.75" customHeight="1">
      <c r="A52" s="83"/>
      <c r="B52" s="94">
        <v>4530</v>
      </c>
      <c r="C52" s="94" t="s">
        <v>69</v>
      </c>
      <c r="D52" s="86"/>
      <c r="E52" s="94"/>
      <c r="F52" s="94"/>
      <c r="G52" s="90" t="s">
        <v>43</v>
      </c>
      <c r="H52" s="8" t="s">
        <v>17</v>
      </c>
      <c r="I52" s="7">
        <f>191888.41-57566.52</f>
        <v>134321.89000000001</v>
      </c>
      <c r="J52" s="7">
        <f t="shared" si="12"/>
        <v>447.29</v>
      </c>
      <c r="K52" s="53">
        <v>760</v>
      </c>
    </row>
    <row r="53" spans="1:13" ht="15.75" customHeight="1">
      <c r="A53" s="84"/>
      <c r="B53" s="94">
        <v>4530</v>
      </c>
      <c r="C53" s="94" t="s">
        <v>69</v>
      </c>
      <c r="D53" s="87"/>
      <c r="E53" s="94"/>
      <c r="F53" s="94"/>
      <c r="G53" s="89"/>
      <c r="H53" s="8" t="s">
        <v>28</v>
      </c>
      <c r="I53" s="7">
        <v>4481.9799999999996</v>
      </c>
      <c r="J53" s="7">
        <f t="shared" si="12"/>
        <v>14.93</v>
      </c>
      <c r="K53" s="53">
        <v>16</v>
      </c>
    </row>
    <row r="54" spans="1:13">
      <c r="A54" s="91">
        <f>A49+1</f>
        <v>10</v>
      </c>
      <c r="B54" s="94">
        <v>4549</v>
      </c>
      <c r="C54" s="95" t="s">
        <v>52</v>
      </c>
      <c r="D54" s="94">
        <v>383.58</v>
      </c>
      <c r="E54" s="94" t="s">
        <v>31</v>
      </c>
      <c r="F54" s="94">
        <v>2</v>
      </c>
      <c r="G54" s="36"/>
      <c r="H54" s="8" t="s">
        <v>29</v>
      </c>
      <c r="I54" s="7">
        <f>SUM(I55:I56)</f>
        <v>1386656.48</v>
      </c>
      <c r="J54" s="7">
        <f>SUM(J55:J56)</f>
        <v>3615.04</v>
      </c>
      <c r="K54" s="7">
        <f t="shared" ref="K54" si="13">SUM(K55:K56)</f>
        <v>3673</v>
      </c>
      <c r="L54" s="1"/>
      <c r="M54" s="1"/>
    </row>
    <row r="55" spans="1:13">
      <c r="A55" s="92"/>
      <c r="B55" s="94"/>
      <c r="C55" s="95"/>
      <c r="D55" s="94"/>
      <c r="E55" s="94"/>
      <c r="F55" s="94"/>
      <c r="G55" s="88" t="s">
        <v>50</v>
      </c>
      <c r="H55" s="8" t="s">
        <v>17</v>
      </c>
      <c r="I55" s="7">
        <f>$D$54*K55</f>
        <v>1379353.68</v>
      </c>
      <c r="J55" s="7">
        <f>I55/$D$54</f>
        <v>3596</v>
      </c>
      <c r="K55" s="53">
        <v>3596</v>
      </c>
      <c r="L55" s="1"/>
      <c r="M55" s="1"/>
    </row>
    <row r="56" spans="1:13">
      <c r="A56" s="93"/>
      <c r="B56" s="94"/>
      <c r="C56" s="95"/>
      <c r="D56" s="94"/>
      <c r="E56" s="94"/>
      <c r="F56" s="94"/>
      <c r="G56" s="89"/>
      <c r="H56" s="8" t="s">
        <v>28</v>
      </c>
      <c r="I56" s="7">
        <v>7302.8</v>
      </c>
      <c r="J56" s="7">
        <f>I56/$D$54</f>
        <v>19.04</v>
      </c>
      <c r="K56" s="53">
        <v>77</v>
      </c>
      <c r="L56" s="1"/>
      <c r="M56" s="1"/>
    </row>
    <row r="57" spans="1:13" ht="15.75" customHeight="1">
      <c r="A57" s="65" t="s">
        <v>59</v>
      </c>
      <c r="B57" s="66"/>
      <c r="C57" s="67"/>
      <c r="D57" s="7">
        <f>D58+D61+D64+D67</f>
        <v>7256.5</v>
      </c>
      <c r="E57" s="7"/>
      <c r="F57" s="7"/>
      <c r="G57" s="7"/>
      <c r="H57" s="7"/>
      <c r="I57" s="7">
        <f>I58+I61+I64+I67</f>
        <v>38202927.619999997</v>
      </c>
      <c r="J57" s="7"/>
      <c r="K57" s="7"/>
    </row>
    <row r="58" spans="1:13" ht="15.75" customHeight="1">
      <c r="A58" s="82">
        <v>1</v>
      </c>
      <c r="B58" s="82">
        <v>4558</v>
      </c>
      <c r="C58" s="96" t="s">
        <v>61</v>
      </c>
      <c r="D58" s="98">
        <v>860.1</v>
      </c>
      <c r="E58" s="82" t="s">
        <v>31</v>
      </c>
      <c r="F58" s="82">
        <v>2</v>
      </c>
      <c r="G58" s="33"/>
      <c r="H58" s="8" t="s">
        <v>29</v>
      </c>
      <c r="I58" s="7">
        <f>SUM(I59:I60)</f>
        <v>467034.3</v>
      </c>
      <c r="J58" s="7">
        <f>SUM(J59:J60)</f>
        <v>543</v>
      </c>
      <c r="K58" s="7">
        <f>SUM(K59:K60)</f>
        <v>543</v>
      </c>
    </row>
    <row r="59" spans="1:13" ht="54.75" customHeight="1">
      <c r="A59" s="83"/>
      <c r="B59" s="83"/>
      <c r="C59" s="97"/>
      <c r="D59" s="99"/>
      <c r="E59" s="83"/>
      <c r="F59" s="83"/>
      <c r="G59" s="36" t="s">
        <v>33</v>
      </c>
      <c r="H59" s="9" t="s">
        <v>32</v>
      </c>
      <c r="I59" s="7">
        <f>D58*K59</f>
        <v>418008.6</v>
      </c>
      <c r="J59" s="7">
        <f>I59/D58</f>
        <v>486</v>
      </c>
      <c r="K59" s="53">
        <f>459+27</f>
        <v>486</v>
      </c>
    </row>
    <row r="60" spans="1:13" ht="47.25">
      <c r="A60" s="83"/>
      <c r="B60" s="83"/>
      <c r="C60" s="97"/>
      <c r="D60" s="100"/>
      <c r="E60" s="83"/>
      <c r="F60" s="83"/>
      <c r="G60" s="36" t="s">
        <v>43</v>
      </c>
      <c r="H60" s="9" t="s">
        <v>32</v>
      </c>
      <c r="I60" s="7">
        <f>D58*K60</f>
        <v>49025.7</v>
      </c>
      <c r="J60" s="7">
        <f>I60/D58</f>
        <v>57</v>
      </c>
      <c r="K60" s="53">
        <f>30+27</f>
        <v>57</v>
      </c>
    </row>
    <row r="61" spans="1:13">
      <c r="A61" s="82">
        <f>A58+1</f>
        <v>2</v>
      </c>
      <c r="B61" s="82">
        <v>8469</v>
      </c>
      <c r="C61" s="96" t="s">
        <v>62</v>
      </c>
      <c r="D61" s="98">
        <v>220.6</v>
      </c>
      <c r="E61" s="82" t="s">
        <v>30</v>
      </c>
      <c r="F61" s="82">
        <v>1</v>
      </c>
      <c r="G61" s="36"/>
      <c r="H61" s="8" t="s">
        <v>29</v>
      </c>
      <c r="I61" s="7">
        <f>SUM(I62:I63)</f>
        <v>5317342.4000000004</v>
      </c>
      <c r="J61" s="7">
        <f>SUM(J62:J63)</f>
        <v>24104</v>
      </c>
      <c r="K61" s="7">
        <f>SUM(K62:K63)</f>
        <v>24104</v>
      </c>
    </row>
    <row r="62" spans="1:13">
      <c r="A62" s="83"/>
      <c r="B62" s="83"/>
      <c r="C62" s="97"/>
      <c r="D62" s="99"/>
      <c r="E62" s="83"/>
      <c r="F62" s="83"/>
      <c r="G62" s="88" t="s">
        <v>27</v>
      </c>
      <c r="H62" s="8" t="s">
        <v>17</v>
      </c>
      <c r="I62" s="7">
        <f>$D$61*K62</f>
        <v>5205939.4000000004</v>
      </c>
      <c r="J62" s="7">
        <f>I62/$D$61</f>
        <v>23599</v>
      </c>
      <c r="K62" s="53">
        <v>23599</v>
      </c>
    </row>
    <row r="63" spans="1:13">
      <c r="A63" s="84"/>
      <c r="B63" s="83"/>
      <c r="C63" s="97"/>
      <c r="D63" s="99"/>
      <c r="E63" s="83"/>
      <c r="F63" s="83"/>
      <c r="G63" s="89"/>
      <c r="H63" s="8" t="s">
        <v>28</v>
      </c>
      <c r="I63" s="7">
        <f>$D$61*K63</f>
        <v>111403</v>
      </c>
      <c r="J63" s="7">
        <f>I63/$D$61</f>
        <v>505</v>
      </c>
      <c r="K63" s="53">
        <v>505</v>
      </c>
    </row>
    <row r="64" spans="1:13">
      <c r="A64" s="91">
        <f>A61+1</f>
        <v>3</v>
      </c>
      <c r="B64" s="94">
        <v>4525</v>
      </c>
      <c r="C64" s="95" t="s">
        <v>71</v>
      </c>
      <c r="D64" s="94">
        <v>1787.52</v>
      </c>
      <c r="E64" s="94" t="s">
        <v>31</v>
      </c>
      <c r="F64" s="94">
        <v>3</v>
      </c>
      <c r="G64" s="36"/>
      <c r="H64" s="8" t="s">
        <v>29</v>
      </c>
      <c r="I64" s="7">
        <f>SUM(I65:I66)</f>
        <v>30913370.879999999</v>
      </c>
      <c r="J64" s="7">
        <f>SUM(J65:J66)</f>
        <v>17294</v>
      </c>
      <c r="K64" s="7">
        <f>SUM(K65:K66)</f>
        <v>17294</v>
      </c>
      <c r="L64" s="1"/>
      <c r="M64" s="1"/>
    </row>
    <row r="65" spans="1:13" ht="15.75" customHeight="1">
      <c r="A65" s="92"/>
      <c r="B65" s="94"/>
      <c r="C65" s="95"/>
      <c r="D65" s="94"/>
      <c r="E65" s="94"/>
      <c r="F65" s="94"/>
      <c r="G65" s="88" t="s">
        <v>27</v>
      </c>
      <c r="H65" s="8" t="s">
        <v>17</v>
      </c>
      <c r="I65" s="7">
        <f>D64*K65</f>
        <v>30266288.640000001</v>
      </c>
      <c r="J65" s="7">
        <f>I65/$D$64</f>
        <v>16932</v>
      </c>
      <c r="K65" s="53">
        <v>16932</v>
      </c>
      <c r="L65" s="1"/>
      <c r="M65" s="1"/>
    </row>
    <row r="66" spans="1:13">
      <c r="A66" s="93"/>
      <c r="B66" s="94"/>
      <c r="C66" s="95"/>
      <c r="D66" s="94"/>
      <c r="E66" s="94"/>
      <c r="F66" s="94"/>
      <c r="G66" s="89"/>
      <c r="H66" s="8" t="s">
        <v>28</v>
      </c>
      <c r="I66" s="7">
        <f>D64*K66</f>
        <v>647082.23999999999</v>
      </c>
      <c r="J66" s="7">
        <f>I66/$D$64</f>
        <v>362</v>
      </c>
      <c r="K66" s="53">
        <v>362</v>
      </c>
      <c r="L66" s="1"/>
      <c r="M66" s="1"/>
    </row>
    <row r="67" spans="1:13">
      <c r="A67" s="101">
        <f>A64+1</f>
        <v>4</v>
      </c>
      <c r="B67" s="101">
        <v>4512</v>
      </c>
      <c r="C67" s="101" t="s">
        <v>63</v>
      </c>
      <c r="D67" s="102">
        <v>4388.28</v>
      </c>
      <c r="E67" s="94" t="s">
        <v>31</v>
      </c>
      <c r="F67" s="94">
        <v>5</v>
      </c>
      <c r="G67" s="17"/>
      <c r="H67" s="8" t="s">
        <v>29</v>
      </c>
      <c r="I67" s="7">
        <f>SUM(I68:I70)</f>
        <v>1505180.04</v>
      </c>
      <c r="J67" s="7">
        <f>SUM(J68:J70)</f>
        <v>343</v>
      </c>
      <c r="K67" s="7">
        <f t="shared" ref="K67" si="14">SUM(K68:K70)</f>
        <v>343</v>
      </c>
      <c r="L67" s="1"/>
      <c r="M67" s="1"/>
    </row>
    <row r="68" spans="1:13" ht="47.25">
      <c r="A68" s="101"/>
      <c r="B68" s="101"/>
      <c r="C68" s="101"/>
      <c r="D68" s="102"/>
      <c r="E68" s="94"/>
      <c r="F68" s="94"/>
      <c r="G68" s="36" t="s">
        <v>33</v>
      </c>
      <c r="H68" s="9" t="s">
        <v>32</v>
      </c>
      <c r="I68" s="7">
        <f>$D$67*K68</f>
        <v>886432.56</v>
      </c>
      <c r="J68" s="7">
        <f>I68/$D$67</f>
        <v>202</v>
      </c>
      <c r="K68" s="53">
        <f>194+8</f>
        <v>202</v>
      </c>
      <c r="L68" s="1"/>
      <c r="M68" s="1"/>
    </row>
    <row r="69" spans="1:13" ht="47.25">
      <c r="A69" s="101"/>
      <c r="B69" s="101"/>
      <c r="C69" s="101"/>
      <c r="D69" s="102"/>
      <c r="E69" s="94"/>
      <c r="F69" s="94"/>
      <c r="G69" s="36" t="s">
        <v>43</v>
      </c>
      <c r="H69" s="9" t="s">
        <v>32</v>
      </c>
      <c r="I69" s="7">
        <f t="shared" ref="I69:I70" si="15">$D$67*K69</f>
        <v>175531.2</v>
      </c>
      <c r="J69" s="7">
        <f t="shared" ref="J69:J70" si="16">I69/$D$67</f>
        <v>40</v>
      </c>
      <c r="K69" s="53">
        <f>30+10</f>
        <v>40</v>
      </c>
      <c r="L69" s="1"/>
      <c r="M69" s="1"/>
    </row>
    <row r="70" spans="1:13" ht="47.25">
      <c r="A70" s="101"/>
      <c r="B70" s="101"/>
      <c r="C70" s="101"/>
      <c r="D70" s="102"/>
      <c r="E70" s="94"/>
      <c r="F70" s="94"/>
      <c r="G70" s="36" t="s">
        <v>44</v>
      </c>
      <c r="H70" s="9" t="s">
        <v>32</v>
      </c>
      <c r="I70" s="7">
        <f t="shared" si="15"/>
        <v>443216.28</v>
      </c>
      <c r="J70" s="7">
        <f t="shared" si="16"/>
        <v>101</v>
      </c>
      <c r="K70" s="53">
        <f>92+9</f>
        <v>101</v>
      </c>
      <c r="L70" s="1"/>
      <c r="M70" s="1"/>
    </row>
    <row r="71" spans="1:13">
      <c r="A71" s="65" t="s">
        <v>60</v>
      </c>
      <c r="B71" s="66"/>
      <c r="C71" s="67"/>
      <c r="D71" s="7">
        <f>D72+D77</f>
        <v>5248.38</v>
      </c>
      <c r="E71" s="7"/>
      <c r="F71" s="7"/>
      <c r="G71" s="7"/>
      <c r="H71" s="7"/>
      <c r="I71" s="7">
        <f>I72+I77</f>
        <v>45308448.899999999</v>
      </c>
      <c r="J71" s="7"/>
      <c r="K71" s="7"/>
    </row>
    <row r="72" spans="1:13" ht="15.75" customHeight="1">
      <c r="A72" s="101">
        <v>1</v>
      </c>
      <c r="B72" s="82">
        <v>4558</v>
      </c>
      <c r="C72" s="96" t="s">
        <v>61</v>
      </c>
      <c r="D72" s="98">
        <v>860.1</v>
      </c>
      <c r="E72" s="82" t="s">
        <v>31</v>
      </c>
      <c r="F72" s="82">
        <v>2</v>
      </c>
      <c r="G72" s="22"/>
      <c r="H72" s="8" t="s">
        <v>29</v>
      </c>
      <c r="I72" s="7">
        <f>SUM(I73:I76)</f>
        <v>9873087.9000000004</v>
      </c>
      <c r="J72" s="7">
        <f>SUM(J73:J76)</f>
        <v>11479</v>
      </c>
      <c r="K72" s="7">
        <f t="shared" ref="K72" si="17">SUM(K73:K76)</f>
        <v>11479</v>
      </c>
    </row>
    <row r="73" spans="1:13" ht="15.75" customHeight="1">
      <c r="A73" s="101"/>
      <c r="B73" s="83"/>
      <c r="C73" s="97"/>
      <c r="D73" s="99"/>
      <c r="E73" s="83"/>
      <c r="F73" s="83"/>
      <c r="G73" s="88" t="s">
        <v>33</v>
      </c>
      <c r="H73" s="8" t="s">
        <v>17</v>
      </c>
      <c r="I73" s="7">
        <f>$D$72*K73</f>
        <v>9012987.9000000004</v>
      </c>
      <c r="J73" s="7">
        <f>I73/$D$72</f>
        <v>10479</v>
      </c>
      <c r="K73" s="53">
        <v>10479</v>
      </c>
    </row>
    <row r="74" spans="1:13" ht="15.75" customHeight="1">
      <c r="A74" s="101"/>
      <c r="B74" s="83"/>
      <c r="C74" s="97"/>
      <c r="D74" s="99"/>
      <c r="E74" s="83"/>
      <c r="F74" s="83"/>
      <c r="G74" s="89"/>
      <c r="H74" s="8" t="s">
        <v>28</v>
      </c>
      <c r="I74" s="7">
        <f>$D$72*K74</f>
        <v>192662.39999999999</v>
      </c>
      <c r="J74" s="7">
        <f>I74/$D$72</f>
        <v>224</v>
      </c>
      <c r="K74" s="53">
        <v>224</v>
      </c>
    </row>
    <row r="75" spans="1:13" ht="15.75" customHeight="1">
      <c r="A75" s="101"/>
      <c r="B75" s="83"/>
      <c r="C75" s="97"/>
      <c r="D75" s="99"/>
      <c r="E75" s="83"/>
      <c r="F75" s="83"/>
      <c r="G75" s="90" t="s">
        <v>43</v>
      </c>
      <c r="H75" s="8" t="s">
        <v>17</v>
      </c>
      <c r="I75" s="7">
        <f>$D$72*K75</f>
        <v>653676</v>
      </c>
      <c r="J75" s="7">
        <f>I75/$D$72</f>
        <v>760</v>
      </c>
      <c r="K75" s="53">
        <f>760</f>
        <v>760</v>
      </c>
    </row>
    <row r="76" spans="1:13" ht="15.75" customHeight="1">
      <c r="A76" s="101"/>
      <c r="B76" s="83"/>
      <c r="C76" s="97"/>
      <c r="D76" s="100"/>
      <c r="E76" s="83"/>
      <c r="F76" s="83"/>
      <c r="G76" s="89"/>
      <c r="H76" s="8" t="s">
        <v>28</v>
      </c>
      <c r="I76" s="7">
        <f>$D$72*K76</f>
        <v>13761.6</v>
      </c>
      <c r="J76" s="7">
        <f>I76/$D$72</f>
        <v>16</v>
      </c>
      <c r="K76" s="53">
        <v>16</v>
      </c>
    </row>
    <row r="77" spans="1:13">
      <c r="A77" s="82">
        <f>A72+1</f>
        <v>2</v>
      </c>
      <c r="B77" s="91">
        <v>4512</v>
      </c>
      <c r="C77" s="91" t="s">
        <v>63</v>
      </c>
      <c r="D77" s="85">
        <v>4388.28</v>
      </c>
      <c r="E77" s="82" t="s">
        <v>31</v>
      </c>
      <c r="F77" s="82">
        <v>5</v>
      </c>
      <c r="G77" s="33"/>
      <c r="H77" s="8" t="s">
        <v>29</v>
      </c>
      <c r="I77" s="7">
        <f>SUM(I78:I83)</f>
        <v>35435361</v>
      </c>
      <c r="J77" s="7">
        <f>SUM(J78:J83)</f>
        <v>8075</v>
      </c>
      <c r="K77" s="7">
        <f>SUM(K78:K83)</f>
        <v>8075</v>
      </c>
    </row>
    <row r="78" spans="1:13">
      <c r="A78" s="83"/>
      <c r="B78" s="92"/>
      <c r="C78" s="92"/>
      <c r="D78" s="86"/>
      <c r="E78" s="83"/>
      <c r="F78" s="83"/>
      <c r="G78" s="88" t="s">
        <v>33</v>
      </c>
      <c r="H78" s="8" t="s">
        <v>17</v>
      </c>
      <c r="I78" s="7">
        <f t="shared" ref="I78:I83" si="18">$D$77*K78</f>
        <v>21283158</v>
      </c>
      <c r="J78" s="7">
        <f t="shared" ref="J78:J83" si="19">I78/$D$77</f>
        <v>4850</v>
      </c>
      <c r="K78" s="53">
        <v>4850</v>
      </c>
    </row>
    <row r="79" spans="1:13" ht="15.75" customHeight="1">
      <c r="A79" s="83"/>
      <c r="B79" s="92"/>
      <c r="C79" s="92"/>
      <c r="D79" s="86"/>
      <c r="E79" s="83"/>
      <c r="F79" s="83"/>
      <c r="G79" s="89"/>
      <c r="H79" s="8" t="s">
        <v>28</v>
      </c>
      <c r="I79" s="7">
        <f t="shared" si="18"/>
        <v>456381.12</v>
      </c>
      <c r="J79" s="7">
        <f t="shared" si="19"/>
        <v>104</v>
      </c>
      <c r="K79" s="53">
        <v>104</v>
      </c>
    </row>
    <row r="80" spans="1:13" ht="15.75" customHeight="1">
      <c r="A80" s="83"/>
      <c r="B80" s="92"/>
      <c r="C80" s="92"/>
      <c r="D80" s="86"/>
      <c r="E80" s="83"/>
      <c r="F80" s="83"/>
      <c r="G80" s="90" t="s">
        <v>43</v>
      </c>
      <c r="H80" s="8" t="s">
        <v>17</v>
      </c>
      <c r="I80" s="7">
        <f t="shared" si="18"/>
        <v>3335092.8</v>
      </c>
      <c r="J80" s="7">
        <f t="shared" si="19"/>
        <v>760</v>
      </c>
      <c r="K80" s="53">
        <f>760</f>
        <v>760</v>
      </c>
    </row>
    <row r="81" spans="1:11" ht="15.75" customHeight="1">
      <c r="A81" s="83"/>
      <c r="B81" s="92"/>
      <c r="C81" s="92"/>
      <c r="D81" s="86"/>
      <c r="E81" s="83"/>
      <c r="F81" s="83"/>
      <c r="G81" s="89"/>
      <c r="H81" s="8" t="s">
        <v>28</v>
      </c>
      <c r="I81" s="7">
        <f t="shared" si="18"/>
        <v>70212.479999999996</v>
      </c>
      <c r="J81" s="7">
        <f t="shared" si="19"/>
        <v>16</v>
      </c>
      <c r="K81" s="53">
        <v>16</v>
      </c>
    </row>
    <row r="82" spans="1:11">
      <c r="A82" s="83"/>
      <c r="B82" s="92"/>
      <c r="C82" s="92"/>
      <c r="D82" s="86"/>
      <c r="E82" s="83"/>
      <c r="F82" s="83"/>
      <c r="G82" s="88" t="s">
        <v>44</v>
      </c>
      <c r="H82" s="8" t="s">
        <v>17</v>
      </c>
      <c r="I82" s="7">
        <f t="shared" si="18"/>
        <v>10075490.880000001</v>
      </c>
      <c r="J82" s="7">
        <f t="shared" si="19"/>
        <v>2296</v>
      </c>
      <c r="K82" s="53">
        <v>2296</v>
      </c>
    </row>
    <row r="83" spans="1:11">
      <c r="A83" s="84"/>
      <c r="B83" s="93"/>
      <c r="C83" s="93"/>
      <c r="D83" s="87"/>
      <c r="E83" s="84"/>
      <c r="F83" s="84"/>
      <c r="G83" s="89"/>
      <c r="H83" s="8" t="s">
        <v>28</v>
      </c>
      <c r="I83" s="7">
        <f t="shared" si="18"/>
        <v>215025.72</v>
      </c>
      <c r="J83" s="7">
        <f t="shared" si="19"/>
        <v>49</v>
      </c>
      <c r="K83" s="53">
        <v>49</v>
      </c>
    </row>
    <row r="85" spans="1:11" ht="169.5" customHeight="1">
      <c r="A85" s="45" t="s">
        <v>72</v>
      </c>
      <c r="B85" s="45"/>
      <c r="C85" s="81" t="s">
        <v>73</v>
      </c>
      <c r="D85" s="81"/>
      <c r="E85" s="81"/>
      <c r="F85" s="81"/>
      <c r="G85" s="81"/>
      <c r="H85" s="81"/>
      <c r="I85" s="81"/>
      <c r="J85" s="81"/>
      <c r="K85" s="81"/>
    </row>
    <row r="86" spans="1:11" ht="66" customHeight="1">
      <c r="A86" s="45" t="s">
        <v>74</v>
      </c>
      <c r="B86" s="45"/>
      <c r="C86" s="81" t="s">
        <v>75</v>
      </c>
      <c r="D86" s="81"/>
      <c r="E86" s="81"/>
      <c r="F86" s="81"/>
      <c r="G86" s="81"/>
      <c r="H86" s="81"/>
      <c r="I86" s="81"/>
      <c r="J86" s="81"/>
      <c r="K86" s="81"/>
    </row>
    <row r="87" spans="1:11" ht="32.25" customHeight="1">
      <c r="A87" s="45" t="s">
        <v>76</v>
      </c>
      <c r="B87" s="45"/>
      <c r="C87" s="81" t="s">
        <v>77</v>
      </c>
      <c r="D87" s="81"/>
      <c r="E87" s="81"/>
      <c r="F87" s="81"/>
      <c r="G87" s="81"/>
      <c r="H87" s="81"/>
      <c r="I87" s="81"/>
      <c r="J87" s="81"/>
      <c r="K87" s="81"/>
    </row>
    <row r="88" spans="1:11" ht="33" customHeight="1">
      <c r="A88" s="46" t="s">
        <v>78</v>
      </c>
      <c r="B88" s="46"/>
      <c r="C88" s="81" t="s">
        <v>79</v>
      </c>
      <c r="D88" s="81"/>
      <c r="E88" s="81"/>
      <c r="F88" s="81"/>
      <c r="G88" s="81"/>
      <c r="H88" s="81"/>
      <c r="I88" s="81"/>
      <c r="J88" s="81"/>
      <c r="K88" s="81"/>
    </row>
    <row r="89" spans="1:11">
      <c r="A89" s="47"/>
      <c r="B89" s="47"/>
      <c r="D89" s="47"/>
      <c r="E89" s="47"/>
      <c r="F89" s="47"/>
      <c r="K89" s="48"/>
    </row>
    <row r="90" spans="1:11">
      <c r="A90" s="49" t="s">
        <v>80</v>
      </c>
      <c r="B90" s="49"/>
      <c r="D90" s="47"/>
      <c r="E90" s="47"/>
      <c r="F90" s="47"/>
      <c r="K90" s="48"/>
    </row>
    <row r="91" spans="1:11">
      <c r="A91" s="49" t="s">
        <v>81</v>
      </c>
      <c r="B91" s="49"/>
      <c r="D91" s="47"/>
      <c r="E91" s="47"/>
      <c r="F91" s="47"/>
      <c r="K91" s="48"/>
    </row>
    <row r="92" spans="1:11">
      <c r="A92" s="49" t="s">
        <v>82</v>
      </c>
      <c r="B92" s="49"/>
      <c r="D92" s="47"/>
      <c r="E92" s="47"/>
      <c r="F92" s="47"/>
      <c r="K92" s="48"/>
    </row>
  </sheetData>
  <autoFilter ref="A4:K83"/>
  <customSheetViews>
    <customSheetView guid="{3511D8A4-2A8D-4563-8DF1-C381EEDBF68F}" scale="90" showPageBreaks="1" printArea="1" showAutoFilter="1" topLeftCell="A172">
      <selection activeCell="I185" sqref="I185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1"/>
      <autoFilter ref="B1:I1"/>
    </customSheetView>
    <customSheetView guid="{CC3EEC02-30D2-4905-AE21-71EA71520321}" scale="80" showPageBreaks="1" printArea="1" showAutoFilter="1" topLeftCell="A380">
      <selection activeCell="F648" sqref="F648:H650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2"/>
      <autoFilter ref="B1:I1"/>
    </customSheetView>
    <customSheetView guid="{114D0552-1D3C-4C9A-AF28-55BD1176DD7C}" showPageBreaks="1" fitToPage="1" printArea="1" showAutoFilter="1">
      <pane xSplit="3" ySplit="5" topLeftCell="D133" activePane="bottomRight" state="frozen"/>
      <selection pane="bottomRight" activeCell="F82" sqref="F82"/>
      <rowBreaks count="12" manualBreakCount="12">
        <brk id="64" max="7" man="1"/>
        <brk id="110" max="7" man="1"/>
        <brk id="139" max="7" man="1"/>
        <brk id="150" max="7" man="1"/>
        <brk id="181" max="7" man="1"/>
        <brk id="312" max="7" man="1"/>
        <brk id="365" max="7" man="1"/>
        <brk id="433" max="7" man="1"/>
        <brk id="499" max="7" man="1"/>
        <brk id="569" max="7" man="1"/>
        <brk id="637" max="7" man="1"/>
        <brk id="847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10" orientation="portrait" r:id="rId3"/>
      <autoFilter ref="B1:I1"/>
    </customSheetView>
  </customSheetViews>
  <mergeCells count="132">
    <mergeCell ref="G31:G32"/>
    <mergeCell ref="G33:G34"/>
    <mergeCell ref="G40:G41"/>
    <mergeCell ref="G62:G63"/>
    <mergeCell ref="G10:G11"/>
    <mergeCell ref="G13:G14"/>
    <mergeCell ref="G15:G16"/>
    <mergeCell ref="G17:G18"/>
    <mergeCell ref="G45:G46"/>
    <mergeCell ref="G47:G48"/>
    <mergeCell ref="G43:G44"/>
    <mergeCell ref="G55:G56"/>
    <mergeCell ref="G50:G51"/>
    <mergeCell ref="G52:G53"/>
    <mergeCell ref="D58:D60"/>
    <mergeCell ref="E58:E60"/>
    <mergeCell ref="F58:F60"/>
    <mergeCell ref="A12:A18"/>
    <mergeCell ref="B12:B18"/>
    <mergeCell ref="C12:C18"/>
    <mergeCell ref="D12:D18"/>
    <mergeCell ref="D49:D53"/>
    <mergeCell ref="E49:E53"/>
    <mergeCell ref="F49:F53"/>
    <mergeCell ref="E54:E56"/>
    <mergeCell ref="D54:D56"/>
    <mergeCell ref="B49:B53"/>
    <mergeCell ref="C49:C53"/>
    <mergeCell ref="E19:E25"/>
    <mergeCell ref="F19:F25"/>
    <mergeCell ref="A28:A29"/>
    <mergeCell ref="B28:B29"/>
    <mergeCell ref="C28:C29"/>
    <mergeCell ref="D28:D29"/>
    <mergeCell ref="E28:E29"/>
    <mergeCell ref="F28:F29"/>
    <mergeCell ref="A1:K1"/>
    <mergeCell ref="A57:C57"/>
    <mergeCell ref="C26:C27"/>
    <mergeCell ref="A6:C6"/>
    <mergeCell ref="A5:C5"/>
    <mergeCell ref="A7:A11"/>
    <mergeCell ref="B7:B11"/>
    <mergeCell ref="C7:C11"/>
    <mergeCell ref="D7:D11"/>
    <mergeCell ref="E7:E11"/>
    <mergeCell ref="F7:F11"/>
    <mergeCell ref="G8:G9"/>
    <mergeCell ref="G20:G21"/>
    <mergeCell ref="G22:G23"/>
    <mergeCell ref="G24:G25"/>
    <mergeCell ref="E12:E18"/>
    <mergeCell ref="F12:F18"/>
    <mergeCell ref="D30:D34"/>
    <mergeCell ref="E30:E34"/>
    <mergeCell ref="F30:F34"/>
    <mergeCell ref="A19:A25"/>
    <mergeCell ref="B19:B25"/>
    <mergeCell ref="C19:C25"/>
    <mergeCell ref="D19:D25"/>
    <mergeCell ref="E61:E63"/>
    <mergeCell ref="F61:F63"/>
    <mergeCell ref="A26:A27"/>
    <mergeCell ref="B26:B27"/>
    <mergeCell ref="F26:F27"/>
    <mergeCell ref="E26:E27"/>
    <mergeCell ref="D26:D27"/>
    <mergeCell ref="A67:A70"/>
    <mergeCell ref="B67:B70"/>
    <mergeCell ref="C67:C70"/>
    <mergeCell ref="D67:D70"/>
    <mergeCell ref="E67:E70"/>
    <mergeCell ref="F67:F70"/>
    <mergeCell ref="A58:A60"/>
    <mergeCell ref="F54:F56"/>
    <mergeCell ref="D61:D63"/>
    <mergeCell ref="A54:A56"/>
    <mergeCell ref="B54:B56"/>
    <mergeCell ref="C54:C56"/>
    <mergeCell ref="A30:A34"/>
    <mergeCell ref="B30:B34"/>
    <mergeCell ref="C30:C34"/>
    <mergeCell ref="B58:B60"/>
    <mergeCell ref="C58:C60"/>
    <mergeCell ref="E64:E66"/>
    <mergeCell ref="G73:G74"/>
    <mergeCell ref="G75:G76"/>
    <mergeCell ref="F64:F66"/>
    <mergeCell ref="A61:A63"/>
    <mergeCell ref="B61:B63"/>
    <mergeCell ref="C61:C63"/>
    <mergeCell ref="F77:F83"/>
    <mergeCell ref="G78:G79"/>
    <mergeCell ref="G80:G81"/>
    <mergeCell ref="G82:G83"/>
    <mergeCell ref="A77:A83"/>
    <mergeCell ref="B77:B83"/>
    <mergeCell ref="C77:C83"/>
    <mergeCell ref="D77:D83"/>
    <mergeCell ref="E77:E83"/>
    <mergeCell ref="B72:B76"/>
    <mergeCell ref="C72:C76"/>
    <mergeCell ref="D72:D76"/>
    <mergeCell ref="E72:E76"/>
    <mergeCell ref="A72:A76"/>
    <mergeCell ref="G65:G66"/>
    <mergeCell ref="F72:F76"/>
    <mergeCell ref="A71:C71"/>
    <mergeCell ref="A2:K2"/>
    <mergeCell ref="C85:K85"/>
    <mergeCell ref="C86:K86"/>
    <mergeCell ref="C87:K87"/>
    <mergeCell ref="C88:K88"/>
    <mergeCell ref="A49:A53"/>
    <mergeCell ref="A35:A41"/>
    <mergeCell ref="B35:B41"/>
    <mergeCell ref="C35:C41"/>
    <mergeCell ref="D35:D41"/>
    <mergeCell ref="E35:E41"/>
    <mergeCell ref="F35:F41"/>
    <mergeCell ref="G36:G37"/>
    <mergeCell ref="G38:G39"/>
    <mergeCell ref="A42:A48"/>
    <mergeCell ref="B42:B48"/>
    <mergeCell ref="C42:C48"/>
    <mergeCell ref="E42:E48"/>
    <mergeCell ref="D42:D48"/>
    <mergeCell ref="F42:F48"/>
    <mergeCell ref="A64:A66"/>
    <mergeCell ref="B64:B66"/>
    <mergeCell ref="C64:C66"/>
    <mergeCell ref="D64:D66"/>
  </mergeCells>
  <conditionalFormatting sqref="H20:H21">
    <cfRule type="duplicateValues" dxfId="0" priority="49"/>
  </conditionalFormatting>
  <printOptions horizontalCentered="1"/>
  <pageMargins left="0" right="0" top="0" bottom="0" header="0.31496062992125984" footer="0.31496062992125984"/>
  <pageSetup paperSize="9" scale="42" fitToHeight="2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форма 1</vt:lpstr>
      <vt:lpstr>Форма 2</vt:lpstr>
      <vt:lpstr>'форма 1'!Заголовки_для_печати</vt:lpstr>
      <vt:lpstr>'Форма 2'!Заголовки_для_печати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2025-12-29T07:09:59Z</cp:lastPrinted>
  <dcterms:created xsi:type="dcterms:W3CDTF">2014-04-25T08:41:06Z</dcterms:created>
  <dcterms:modified xsi:type="dcterms:W3CDTF">2026-02-12T13:28:31Z</dcterms:modified>
</cp:coreProperties>
</file>